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8195" windowHeight="8445"/>
  </bookViews>
  <sheets>
    <sheet name="MCTV Draft Budget 2016" sheetId="4" r:id="rId1"/>
    <sheet name="Payroll 2016" sheetId="5" r:id="rId2"/>
    <sheet name="Payroll2015" sheetId="2" r:id="rId3"/>
  </sheets>
  <definedNames>
    <definedName name="_xlnm.Print_Area" localSheetId="0">'MCTV Draft Budget 2016'!$A$1:$P$52</definedName>
  </definedNames>
  <calcPr calcId="125725"/>
</workbook>
</file>

<file path=xl/calcChain.xml><?xml version="1.0" encoding="utf-8"?>
<calcChain xmlns="http://schemas.openxmlformats.org/spreadsheetml/2006/main">
  <c r="D5" i="4"/>
  <c r="P28"/>
  <c r="E39" i="5"/>
  <c r="F39" s="1"/>
  <c r="P43" i="4"/>
  <c r="P44"/>
  <c r="Q45" i="5"/>
  <c r="D45"/>
  <c r="C45"/>
  <c r="D37"/>
  <c r="C37"/>
  <c r="E41"/>
  <c r="H41" s="1"/>
  <c r="E42"/>
  <c r="H42" s="1"/>
  <c r="E34"/>
  <c r="F34" s="1"/>
  <c r="E35"/>
  <c r="I35" s="1"/>
  <c r="E43"/>
  <c r="I43" s="1"/>
  <c r="E44"/>
  <c r="J44" s="1"/>
  <c r="M44" s="1"/>
  <c r="E36"/>
  <c r="I36" s="1"/>
  <c r="E40"/>
  <c r="F40" s="1"/>
  <c r="Q32"/>
  <c r="P32"/>
  <c r="J32"/>
  <c r="E32"/>
  <c r="H32" s="1"/>
  <c r="R4" i="2"/>
  <c r="R3"/>
  <c r="J25" i="5"/>
  <c r="E25"/>
  <c r="H25" s="1"/>
  <c r="Q24"/>
  <c r="P24"/>
  <c r="J24"/>
  <c r="E24"/>
  <c r="H24" s="1"/>
  <c r="O15"/>
  <c r="Q15" s="1"/>
  <c r="O11"/>
  <c r="Q11" s="1"/>
  <c r="J11"/>
  <c r="E11"/>
  <c r="F11" s="1"/>
  <c r="O10"/>
  <c r="Q10" s="1"/>
  <c r="J10"/>
  <c r="E10"/>
  <c r="O9"/>
  <c r="Q9" s="1"/>
  <c r="J9"/>
  <c r="E9"/>
  <c r="H9" s="1"/>
  <c r="J5"/>
  <c r="E5"/>
  <c r="I5" s="1"/>
  <c r="E4"/>
  <c r="J4" s="1"/>
  <c r="J3"/>
  <c r="E3"/>
  <c r="I3" s="1"/>
  <c r="J36" l="1"/>
  <c r="J35"/>
  <c r="J34"/>
  <c r="J41"/>
  <c r="J40"/>
  <c r="J43"/>
  <c r="J42"/>
  <c r="E45"/>
  <c r="J39"/>
  <c r="H39"/>
  <c r="H43"/>
  <c r="I40"/>
  <c r="H36"/>
  <c r="K36" s="1"/>
  <c r="F24"/>
  <c r="F32"/>
  <c r="I39"/>
  <c r="H35"/>
  <c r="I41"/>
  <c r="I24"/>
  <c r="K24" s="1"/>
  <c r="H44"/>
  <c r="K44" s="1"/>
  <c r="P9"/>
  <c r="F25"/>
  <c r="I32"/>
  <c r="K32" s="1"/>
  <c r="F43"/>
  <c r="F41"/>
  <c r="E37"/>
  <c r="I34"/>
  <c r="I42"/>
  <c r="K42" s="1"/>
  <c r="H40"/>
  <c r="F44"/>
  <c r="I44" s="1"/>
  <c r="L44" s="1"/>
  <c r="F42"/>
  <c r="F9"/>
  <c r="F35"/>
  <c r="H34"/>
  <c r="F36"/>
  <c r="H11"/>
  <c r="I11"/>
  <c r="P11"/>
  <c r="I9"/>
  <c r="K9" s="1"/>
  <c r="I25"/>
  <c r="K25" s="1"/>
  <c r="H4"/>
  <c r="F10"/>
  <c r="P10"/>
  <c r="I4"/>
  <c r="H10"/>
  <c r="H3"/>
  <c r="K3" s="1"/>
  <c r="M3" s="1"/>
  <c r="H5"/>
  <c r="K5" s="1"/>
  <c r="M5" s="1"/>
  <c r="I10"/>
  <c r="J25" i="2"/>
  <c r="E25"/>
  <c r="F25" s="1"/>
  <c r="J24"/>
  <c r="O30"/>
  <c r="Q30" s="1"/>
  <c r="Q24"/>
  <c r="E24"/>
  <c r="M24" i="5" l="1"/>
  <c r="L24"/>
  <c r="J37"/>
  <c r="F45"/>
  <c r="K35"/>
  <c r="L35" s="1"/>
  <c r="K41"/>
  <c r="M41" s="1"/>
  <c r="H45"/>
  <c r="J45"/>
  <c r="K43"/>
  <c r="L43" s="1"/>
  <c r="K39"/>
  <c r="L39" s="1"/>
  <c r="I45"/>
  <c r="M36"/>
  <c r="L36"/>
  <c r="M35"/>
  <c r="L41"/>
  <c r="M43"/>
  <c r="F37"/>
  <c r="L42"/>
  <c r="M42"/>
  <c r="L32"/>
  <c r="M32"/>
  <c r="I37"/>
  <c r="K34"/>
  <c r="P12"/>
  <c r="H37"/>
  <c r="K40"/>
  <c r="M9"/>
  <c r="L9"/>
  <c r="M25"/>
  <c r="L25"/>
  <c r="L26" s="1"/>
  <c r="K10"/>
  <c r="L10" s="1"/>
  <c r="K11"/>
  <c r="K4"/>
  <c r="M4" s="1"/>
  <c r="M6" s="1"/>
  <c r="I25" i="2"/>
  <c r="H25"/>
  <c r="F24"/>
  <c r="P24"/>
  <c r="H24"/>
  <c r="I24"/>
  <c r="O48" i="4"/>
  <c r="N48"/>
  <c r="M48"/>
  <c r="L48"/>
  <c r="K48"/>
  <c r="J48"/>
  <c r="I48"/>
  <c r="H48"/>
  <c r="G48"/>
  <c r="F48"/>
  <c r="E48"/>
  <c r="D48"/>
  <c r="P47"/>
  <c r="P46"/>
  <c r="P45"/>
  <c r="P42"/>
  <c r="O39"/>
  <c r="N39"/>
  <c r="M39"/>
  <c r="L39"/>
  <c r="K39"/>
  <c r="J39"/>
  <c r="I39"/>
  <c r="P38"/>
  <c r="P37"/>
  <c r="P36"/>
  <c r="P35"/>
  <c r="H39"/>
  <c r="G39"/>
  <c r="F39"/>
  <c r="E39"/>
  <c r="D39"/>
  <c r="P30"/>
  <c r="P29"/>
  <c r="P27"/>
  <c r="P26"/>
  <c r="P25"/>
  <c r="O31"/>
  <c r="N31"/>
  <c r="M31"/>
  <c r="L31"/>
  <c r="K31"/>
  <c r="J31"/>
  <c r="I31"/>
  <c r="H31"/>
  <c r="G31"/>
  <c r="F31"/>
  <c r="E31"/>
  <c r="D31"/>
  <c r="O21"/>
  <c r="N21"/>
  <c r="M21"/>
  <c r="L21"/>
  <c r="K21"/>
  <c r="J21"/>
  <c r="I21"/>
  <c r="H21"/>
  <c r="G21"/>
  <c r="F21"/>
  <c r="E21"/>
  <c r="D21"/>
  <c r="P20"/>
  <c r="P19"/>
  <c r="P18"/>
  <c r="P17"/>
  <c r="P16"/>
  <c r="P15"/>
  <c r="P14"/>
  <c r="P13"/>
  <c r="P12"/>
  <c r="P11"/>
  <c r="P10"/>
  <c r="P9"/>
  <c r="P4"/>
  <c r="P3"/>
  <c r="O5"/>
  <c r="N5"/>
  <c r="M5"/>
  <c r="L5"/>
  <c r="K5"/>
  <c r="J5"/>
  <c r="I5"/>
  <c r="H5"/>
  <c r="G5"/>
  <c r="F5"/>
  <c r="E5"/>
  <c r="K45" i="5" l="1"/>
  <c r="M39"/>
  <c r="R21" i="4"/>
  <c r="R31"/>
  <c r="M10" i="5"/>
  <c r="L40"/>
  <c r="L45" s="1"/>
  <c r="K37"/>
  <c r="M40"/>
  <c r="M45" s="1"/>
  <c r="M34"/>
  <c r="L34"/>
  <c r="F50" i="4"/>
  <c r="F52" s="1"/>
  <c r="R39"/>
  <c r="R48"/>
  <c r="M11" i="5"/>
  <c r="L11"/>
  <c r="L12" s="1"/>
  <c r="K25" i="2"/>
  <c r="M25" s="1"/>
  <c r="K24"/>
  <c r="P5" i="4"/>
  <c r="J50"/>
  <c r="J52" s="1"/>
  <c r="N50"/>
  <c r="N52" s="1"/>
  <c r="G50"/>
  <c r="G52" s="1"/>
  <c r="L50"/>
  <c r="L52" s="1"/>
  <c r="K50"/>
  <c r="K52" s="1"/>
  <c r="O50"/>
  <c r="O52" s="1"/>
  <c r="P48"/>
  <c r="P21"/>
  <c r="D50"/>
  <c r="H50"/>
  <c r="H52" s="1"/>
  <c r="E50"/>
  <c r="E52" s="1"/>
  <c r="I50"/>
  <c r="I52" s="1"/>
  <c r="M50"/>
  <c r="M52" s="1"/>
  <c r="P24"/>
  <c r="P31" s="1"/>
  <c r="P34"/>
  <c r="P39" s="1"/>
  <c r="O15" i="2"/>
  <c r="Q15" s="1"/>
  <c r="M12" i="5" l="1"/>
  <c r="M37"/>
  <c r="L37"/>
  <c r="L47" s="1"/>
  <c r="L25" i="2"/>
  <c r="R50" i="4"/>
  <c r="L24" i="2"/>
  <c r="L26" s="1"/>
  <c r="M24"/>
  <c r="P50" i="4"/>
  <c r="P52" s="1"/>
  <c r="D52"/>
  <c r="O11" i="2" l="1"/>
  <c r="Q11" s="1"/>
  <c r="J10"/>
  <c r="P11" l="1"/>
  <c r="J11"/>
  <c r="E11"/>
  <c r="O10"/>
  <c r="E10"/>
  <c r="O9"/>
  <c r="J9"/>
  <c r="E9"/>
  <c r="J5"/>
  <c r="E5"/>
  <c r="I5" s="1"/>
  <c r="J4"/>
  <c r="H4"/>
  <c r="E4"/>
  <c r="I4" s="1"/>
  <c r="J3"/>
  <c r="H3"/>
  <c r="E3"/>
  <c r="I3" s="1"/>
  <c r="H5" l="1"/>
  <c r="P9"/>
  <c r="Q9"/>
  <c r="P10"/>
  <c r="P12" s="1"/>
  <c r="Q10"/>
  <c r="K4"/>
  <c r="M4" s="1"/>
  <c r="K3"/>
  <c r="M3" s="1"/>
  <c r="M6" s="1"/>
  <c r="K5"/>
  <c r="M5" s="1"/>
  <c r="H9"/>
  <c r="H10"/>
  <c r="H11"/>
  <c r="F9"/>
  <c r="I9"/>
  <c r="F10"/>
  <c r="I10"/>
  <c r="F11"/>
  <c r="I11"/>
  <c r="K11" l="1"/>
  <c r="K10"/>
  <c r="K9"/>
  <c r="L9" l="1"/>
  <c r="M9"/>
  <c r="L11"/>
  <c r="M11"/>
  <c r="L10"/>
  <c r="M10"/>
  <c r="L12" l="1"/>
  <c r="M12"/>
</calcChain>
</file>

<file path=xl/sharedStrings.xml><?xml version="1.0" encoding="utf-8"?>
<sst xmlns="http://schemas.openxmlformats.org/spreadsheetml/2006/main" count="195" uniqueCount="93">
  <si>
    <t xml:space="preserve">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</si>
  <si>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</si>
  <si>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</si>
  <si>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</si>
  <si>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</si>
  <si>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</si>
  <si>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</si>
  <si>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</si>
  <si>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</si>
  <si>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</si>
  <si>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</si>
  <si>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</si>
  <si>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</si>
  <si>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</si>
  <si>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Revenues</t>
  </si>
  <si>
    <t>Cable Access</t>
  </si>
  <si>
    <t>Interest</t>
  </si>
  <si>
    <t>TOTAL REVENUES</t>
  </si>
  <si>
    <t>Expenditures</t>
  </si>
  <si>
    <t>ADMIN</t>
  </si>
  <si>
    <t>Advertising</t>
  </si>
  <si>
    <t>Bank service charges</t>
  </si>
  <si>
    <t>Fundraising Expense</t>
  </si>
  <si>
    <t>Insurance Business Liab.</t>
  </si>
  <si>
    <t>Insurance - D&amp;O</t>
  </si>
  <si>
    <t>Office supplies/expenses</t>
  </si>
  <si>
    <t>Postage</t>
  </si>
  <si>
    <t>Staff Development</t>
  </si>
  <si>
    <t>Annual review/taxes</t>
  </si>
  <si>
    <t>TOTAL ADMIN</t>
  </si>
  <si>
    <t>PROGRAM</t>
  </si>
  <si>
    <t>Website Admin</t>
  </si>
  <si>
    <t>Equip Repair &amp; Maint</t>
  </si>
  <si>
    <t>Dues &amp; Subscriptions</t>
  </si>
  <si>
    <t>TOTAL PROGRAM</t>
  </si>
  <si>
    <t>BUILDING &amp; PROPERTY</t>
  </si>
  <si>
    <t>Maintenance</t>
  </si>
  <si>
    <t>Utilities-power</t>
  </si>
  <si>
    <t>Utilities-alarm</t>
  </si>
  <si>
    <t>Telephone/Internet</t>
  </si>
  <si>
    <t>TOTAL BUILDING &amp; PROPERTY</t>
  </si>
  <si>
    <t>PAYROLL</t>
  </si>
  <si>
    <t>Employer Taxes</t>
  </si>
  <si>
    <t>Workers Comp</t>
  </si>
  <si>
    <t>Health Ins/Retirement</t>
  </si>
  <si>
    <t>TOTAL PAYROLL</t>
  </si>
  <si>
    <t>TOTAL EXPENDITURES</t>
  </si>
  <si>
    <t>Net from operations</t>
  </si>
  <si>
    <t>Bookkeeping</t>
  </si>
  <si>
    <t>Video Equipment</t>
  </si>
  <si>
    <t>Program Expenses</t>
  </si>
  <si>
    <t>Insurance- Commercial Property</t>
  </si>
  <si>
    <t>Rent/ Mortgage</t>
  </si>
  <si>
    <t>Travel/ Mileage reimb.</t>
  </si>
  <si>
    <t>Name</t>
  </si>
  <si>
    <t>Position</t>
  </si>
  <si>
    <t>Hrs/Wk</t>
  </si>
  <si>
    <t>Rate</t>
  </si>
  <si>
    <t>Year</t>
  </si>
  <si>
    <t>HAS</t>
  </si>
  <si>
    <t>Fica</t>
  </si>
  <si>
    <t>Med</t>
  </si>
  <si>
    <t>UI</t>
  </si>
  <si>
    <t>Total Taxes</t>
  </si>
  <si>
    <t>Dean Garvin</t>
  </si>
  <si>
    <t>Station Manager</t>
  </si>
  <si>
    <t>Cindy Tarail</t>
  </si>
  <si>
    <t>Communications</t>
  </si>
  <si>
    <t>Tim Lindop</t>
  </si>
  <si>
    <t>Tech Coord.</t>
  </si>
  <si>
    <t>Health</t>
  </si>
  <si>
    <t>Office Support</t>
  </si>
  <si>
    <t>per pay</t>
  </si>
  <si>
    <t>Cindy 2013</t>
  </si>
  <si>
    <t>Raise for Dean?</t>
  </si>
  <si>
    <t>2015 estimate</t>
  </si>
  <si>
    <t>Monthly</t>
  </si>
  <si>
    <t>Tech/ Program services</t>
  </si>
  <si>
    <t>Admin Asst. Board</t>
  </si>
  <si>
    <t>Audio Mixing</t>
  </si>
  <si>
    <t>Camera</t>
  </si>
  <si>
    <t>Editing</t>
  </si>
  <si>
    <t>Mic Runner</t>
  </si>
  <si>
    <t>Outreach/NewsBlast</t>
  </si>
  <si>
    <t>Setup/Rigging</t>
  </si>
  <si>
    <t>Tech Directing</t>
  </si>
  <si>
    <t>TOTAL Admin Support</t>
  </si>
  <si>
    <t>Admin Support</t>
  </si>
  <si>
    <t>Tech/ Program</t>
  </si>
  <si>
    <t>TOTAL Tech/Program</t>
  </si>
  <si>
    <t>Video Supplies</t>
  </si>
  <si>
    <t>2016 BUDGET</t>
  </si>
  <si>
    <t xml:space="preserve">Station Manager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</si>
</sst>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0.0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32323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164" fontId="5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5" fillId="0" borderId="0" xfId="0" applyFont="1" applyFill="1" applyBorder="1"/>
    <xf numFmtId="43" fontId="6" fillId="0" borderId="0" xfId="0" applyNumberFormat="1" applyFont="1" applyFill="1" applyBorder="1"/>
    <xf numFmtId="0" fontId="8" fillId="0" borderId="0" xfId="0" applyFont="1" applyFill="1" applyBorder="1"/>
    <xf numFmtId="43" fontId="8" fillId="0" borderId="0" xfId="1" applyNumberFormat="1" applyFont="1" applyFill="1" applyBorder="1"/>
    <xf numFmtId="43" fontId="8" fillId="0" borderId="0" xfId="0" applyNumberFormat="1" applyFont="1" applyFill="1" applyBorder="1"/>
    <xf numFmtId="0" fontId="5" fillId="0" borderId="0" xfId="0" applyFont="1" applyFill="1" applyBorder="1" applyAlignment="1">
      <alignment horizontal="left"/>
    </xf>
    <xf numFmtId="43" fontId="5" fillId="0" borderId="0" xfId="1" applyNumberFormat="1" applyFont="1" applyFill="1" applyBorder="1"/>
    <xf numFmtId="0" fontId="6" fillId="2" borderId="0" xfId="0" applyFont="1" applyFill="1" applyBorder="1"/>
    <xf numFmtId="43" fontId="6" fillId="2" borderId="0" xfId="0" applyNumberFormat="1" applyFont="1" applyFill="1" applyBorder="1"/>
    <xf numFmtId="43" fontId="5" fillId="0" borderId="0" xfId="0" applyNumberFormat="1" applyFont="1" applyFill="1" applyBorder="1"/>
    <xf numFmtId="0" fontId="5" fillId="2" borderId="0" xfId="0" applyFont="1" applyFill="1" applyBorder="1"/>
    <xf numFmtId="43" fontId="5" fillId="2" borderId="0" xfId="0" applyNumberFormat="1" applyFont="1" applyFill="1" applyBorder="1"/>
    <xf numFmtId="43" fontId="6" fillId="0" borderId="0" xfId="1" applyNumberFormat="1" applyFont="1" applyFill="1" applyBorder="1"/>
    <xf numFmtId="43" fontId="6" fillId="2" borderId="0" xfId="1" applyNumberFormat="1" applyFont="1" applyFill="1" applyBorder="1"/>
    <xf numFmtId="0" fontId="9" fillId="0" borderId="0" xfId="2" applyFont="1"/>
    <xf numFmtId="0" fontId="4" fillId="0" borderId="0" xfId="2"/>
    <xf numFmtId="4" fontId="4" fillId="0" borderId="0" xfId="2" applyNumberFormat="1"/>
    <xf numFmtId="0" fontId="3" fillId="0" borderId="0" xfId="2" applyFont="1"/>
    <xf numFmtId="0" fontId="2" fillId="0" borderId="0" xfId="2" applyFont="1"/>
    <xf numFmtId="0" fontId="1" fillId="0" borderId="0" xfId="2" applyFont="1"/>
    <xf numFmtId="49" fontId="10" fillId="0" borderId="0" xfId="0" applyNumberFormat="1" applyFont="1"/>
    <xf numFmtId="1" fontId="4" fillId="0" borderId="0" xfId="2" applyNumberFormat="1"/>
    <xf numFmtId="1" fontId="9" fillId="0" borderId="0" xfId="2" applyNumberFormat="1" applyFont="1"/>
    <xf numFmtId="0" fontId="4" fillId="3" borderId="0" xfId="2" applyFill="1"/>
    <xf numFmtId="4" fontId="9" fillId="0" borderId="0" xfId="2" applyNumberFormat="1" applyFont="1"/>
    <xf numFmtId="165" fontId="4" fillId="0" borderId="0" xfId="2" applyNumberFormat="1"/>
    <xf numFmtId="43" fontId="6" fillId="0" borderId="0" xfId="0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2"/>
  <sheetViews>
    <sheetView tabSelected="1" workbookViewId="0">
      <pane xSplit="3" ySplit="2" topLeftCell="D19" activePane="bottomRight" state="frozen"/>
      <selection pane="topRight" activeCell="D1" sqref="D1"/>
      <selection pane="bottomLeft" activeCell="A3" sqref="A3"/>
      <selection pane="bottomRight" activeCell="C42" sqref="C42"/>
    </sheetView>
  </sheetViews>
  <sheetFormatPr defaultColWidth="9.140625" defaultRowHeight="12.75"/>
  <cols>
    <col min="1" max="1" width="7.140625" style="2" customWidth="1"/>
    <col min="2" max="2" width="4" style="2" customWidth="1"/>
    <col min="3" max="3" width="18.28515625" style="2" customWidth="1"/>
    <col min="4" max="15" width="10.85546875" style="2" customWidth="1"/>
    <col min="16" max="16" width="12.140625" style="2" customWidth="1"/>
    <col min="17" max="17" width="2.42578125" style="2" customWidth="1"/>
    <col min="18" max="18" width="15.28515625" style="2" customWidth="1"/>
    <col min="19" max="16384" width="9.140625" style="2"/>
  </cols>
  <sheetData>
    <row r="1" spans="1:16">
      <c r="A1" s="1" t="s">
        <v>91</v>
      </c>
      <c r="B1" s="1"/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4" t="s">
        <v>13</v>
      </c>
    </row>
    <row r="2" spans="1:16" ht="15.75">
      <c r="A2" s="5" t="s">
        <v>14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s="8" customFormat="1" ht="12">
      <c r="C3" s="8" t="s">
        <v>15</v>
      </c>
      <c r="D3" s="9">
        <v>31200</v>
      </c>
      <c r="E3" s="9"/>
      <c r="F3" s="9">
        <v>0</v>
      </c>
      <c r="G3" s="9">
        <v>31200</v>
      </c>
      <c r="H3" s="9">
        <v>0</v>
      </c>
      <c r="I3" s="9">
        <v>0</v>
      </c>
      <c r="J3" s="9">
        <v>31200</v>
      </c>
      <c r="K3" s="9">
        <v>0</v>
      </c>
      <c r="L3" s="9">
        <v>0</v>
      </c>
      <c r="M3" s="9">
        <v>31200</v>
      </c>
      <c r="N3" s="9">
        <v>0</v>
      </c>
      <c r="O3" s="9"/>
      <c r="P3" s="10">
        <f t="shared" ref="P3:P4" si="0">SUM(D3:O3)</f>
        <v>124800</v>
      </c>
    </row>
    <row r="4" spans="1:16" s="8" customFormat="1" ht="12">
      <c r="C4" s="8" t="s">
        <v>16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  <c r="M4" s="9">
        <v>3</v>
      </c>
      <c r="N4" s="9">
        <v>3</v>
      </c>
      <c r="O4" s="9">
        <v>3</v>
      </c>
      <c r="P4" s="10">
        <f t="shared" si="0"/>
        <v>36</v>
      </c>
    </row>
    <row r="5" spans="1:16">
      <c r="A5" s="11" t="s">
        <v>17</v>
      </c>
      <c r="B5" s="11"/>
      <c r="C5" s="6"/>
      <c r="D5" s="12">
        <f t="shared" ref="D5:P5" si="1">SUM(D3:D4)</f>
        <v>31203</v>
      </c>
      <c r="E5" s="12">
        <f t="shared" si="1"/>
        <v>3</v>
      </c>
      <c r="F5" s="12">
        <f t="shared" si="1"/>
        <v>3</v>
      </c>
      <c r="G5" s="12">
        <f t="shared" si="1"/>
        <v>31203</v>
      </c>
      <c r="H5" s="12">
        <f t="shared" si="1"/>
        <v>3</v>
      </c>
      <c r="I5" s="12">
        <f t="shared" si="1"/>
        <v>3</v>
      </c>
      <c r="J5" s="12">
        <f t="shared" si="1"/>
        <v>31203</v>
      </c>
      <c r="K5" s="12">
        <f t="shared" si="1"/>
        <v>3</v>
      </c>
      <c r="L5" s="12">
        <f t="shared" si="1"/>
        <v>3</v>
      </c>
      <c r="M5" s="12">
        <f t="shared" si="1"/>
        <v>31203</v>
      </c>
      <c r="N5" s="12">
        <f t="shared" si="1"/>
        <v>3</v>
      </c>
      <c r="O5" s="12">
        <f t="shared" si="1"/>
        <v>3</v>
      </c>
      <c r="P5" s="12">
        <f t="shared" si="1"/>
        <v>124836</v>
      </c>
    </row>
    <row r="6" spans="1:16" s="13" customFormat="1" ht="6.75" customHeight="1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>
      <c r="A7" s="5" t="s">
        <v>18</v>
      </c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>
      <c r="A8" s="6" t="s">
        <v>19</v>
      </c>
      <c r="B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s="8" customFormat="1" ht="12">
      <c r="C9" s="8" t="s">
        <v>20</v>
      </c>
      <c r="D9" s="9">
        <v>20</v>
      </c>
      <c r="E9" s="9">
        <v>20</v>
      </c>
      <c r="F9" s="9">
        <v>20</v>
      </c>
      <c r="G9" s="9">
        <v>20</v>
      </c>
      <c r="H9" s="9">
        <v>20</v>
      </c>
      <c r="I9" s="9">
        <v>20</v>
      </c>
      <c r="J9" s="9">
        <v>20</v>
      </c>
      <c r="K9" s="9">
        <v>20</v>
      </c>
      <c r="L9" s="9">
        <v>20</v>
      </c>
      <c r="M9" s="9">
        <v>20</v>
      </c>
      <c r="N9" s="9">
        <v>20</v>
      </c>
      <c r="O9" s="9">
        <v>20</v>
      </c>
      <c r="P9" s="10">
        <f t="shared" ref="P9:P20" si="2">SUM(D9:O9)</f>
        <v>240</v>
      </c>
    </row>
    <row r="10" spans="1:16" s="8" customFormat="1" ht="12">
      <c r="C10" s="8" t="s">
        <v>21</v>
      </c>
      <c r="D10" s="9">
        <v>4</v>
      </c>
      <c r="E10" s="9">
        <v>4</v>
      </c>
      <c r="F10" s="9">
        <v>4</v>
      </c>
      <c r="G10" s="9">
        <v>4</v>
      </c>
      <c r="H10" s="9">
        <v>4</v>
      </c>
      <c r="I10" s="9">
        <v>4</v>
      </c>
      <c r="J10" s="9">
        <v>4</v>
      </c>
      <c r="K10" s="9">
        <v>4</v>
      </c>
      <c r="L10" s="9">
        <v>4</v>
      </c>
      <c r="M10" s="9">
        <v>4</v>
      </c>
      <c r="N10" s="9">
        <v>4</v>
      </c>
      <c r="O10" s="9">
        <v>4</v>
      </c>
      <c r="P10" s="10">
        <f t="shared" si="2"/>
        <v>48</v>
      </c>
    </row>
    <row r="11" spans="1:16" s="8" customFormat="1" ht="12">
      <c r="C11" s="8" t="s">
        <v>22</v>
      </c>
      <c r="D11" s="9">
        <v>15</v>
      </c>
      <c r="E11" s="9">
        <v>15</v>
      </c>
      <c r="F11" s="9">
        <v>15</v>
      </c>
      <c r="G11" s="9">
        <v>15</v>
      </c>
      <c r="H11" s="9">
        <v>15</v>
      </c>
      <c r="I11" s="9">
        <v>15</v>
      </c>
      <c r="J11" s="9">
        <v>15</v>
      </c>
      <c r="K11" s="9">
        <v>15</v>
      </c>
      <c r="L11" s="9">
        <v>15</v>
      </c>
      <c r="M11" s="9">
        <v>15</v>
      </c>
      <c r="N11" s="9">
        <v>15</v>
      </c>
      <c r="O11" s="9">
        <v>15</v>
      </c>
      <c r="P11" s="10">
        <f t="shared" si="2"/>
        <v>180</v>
      </c>
    </row>
    <row r="12" spans="1:16" s="8" customFormat="1" ht="12">
      <c r="C12" s="8" t="s">
        <v>23</v>
      </c>
      <c r="D12" s="9">
        <v>0</v>
      </c>
      <c r="E12" s="9">
        <v>0</v>
      </c>
      <c r="F12" s="9">
        <v>0</v>
      </c>
      <c r="G12" s="9">
        <v>700</v>
      </c>
      <c r="H12" s="9"/>
      <c r="I12" s="9"/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f t="shared" si="2"/>
        <v>700</v>
      </c>
    </row>
    <row r="13" spans="1:16" s="8" customFormat="1" ht="12">
      <c r="C13" s="8" t="s">
        <v>51</v>
      </c>
      <c r="D13" s="9"/>
      <c r="E13" s="9"/>
      <c r="F13" s="9"/>
      <c r="G13" s="9">
        <v>750</v>
      </c>
      <c r="H13" s="9"/>
      <c r="I13" s="9"/>
      <c r="J13" s="9"/>
      <c r="K13" s="9"/>
      <c r="L13" s="9"/>
      <c r="M13" s="9"/>
      <c r="N13" s="9"/>
      <c r="O13" s="9"/>
      <c r="P13" s="10">
        <f t="shared" si="2"/>
        <v>750</v>
      </c>
    </row>
    <row r="14" spans="1:16" s="8" customFormat="1" ht="12">
      <c r="C14" s="8" t="s">
        <v>24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1200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f t="shared" si="2"/>
        <v>1200</v>
      </c>
    </row>
    <row r="15" spans="1:16" s="8" customFormat="1" ht="12">
      <c r="C15" s="8" t="s">
        <v>25</v>
      </c>
      <c r="D15" s="9">
        <v>100</v>
      </c>
      <c r="E15" s="9">
        <v>100</v>
      </c>
      <c r="F15" s="9">
        <v>100</v>
      </c>
      <c r="G15" s="9">
        <v>100</v>
      </c>
      <c r="H15" s="9">
        <v>100</v>
      </c>
      <c r="I15" s="9">
        <v>100</v>
      </c>
      <c r="J15" s="9">
        <v>100</v>
      </c>
      <c r="K15" s="9">
        <v>100</v>
      </c>
      <c r="L15" s="9">
        <v>100</v>
      </c>
      <c r="M15" s="9">
        <v>100</v>
      </c>
      <c r="N15" s="9">
        <v>100</v>
      </c>
      <c r="O15" s="9">
        <v>100</v>
      </c>
      <c r="P15" s="10">
        <f t="shared" si="2"/>
        <v>1200</v>
      </c>
    </row>
    <row r="16" spans="1:16" s="8" customFormat="1" ht="12">
      <c r="C16" s="8" t="s">
        <v>26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9">
        <v>2</v>
      </c>
      <c r="N16" s="9">
        <v>2</v>
      </c>
      <c r="O16" s="9">
        <v>2</v>
      </c>
      <c r="P16" s="10">
        <f t="shared" si="2"/>
        <v>24</v>
      </c>
    </row>
    <row r="17" spans="1:18" s="8" customFormat="1" ht="12">
      <c r="C17" s="8" t="s">
        <v>27</v>
      </c>
      <c r="D17" s="9">
        <v>150</v>
      </c>
      <c r="E17" s="9">
        <v>150</v>
      </c>
      <c r="F17" s="9">
        <v>150</v>
      </c>
      <c r="G17" s="9">
        <v>150</v>
      </c>
      <c r="H17" s="9">
        <v>150</v>
      </c>
      <c r="I17" s="9">
        <v>150</v>
      </c>
      <c r="J17" s="9">
        <v>150</v>
      </c>
      <c r="K17" s="9">
        <v>150</v>
      </c>
      <c r="L17" s="9">
        <v>150</v>
      </c>
      <c r="M17" s="9">
        <v>150</v>
      </c>
      <c r="N17" s="9">
        <v>150</v>
      </c>
      <c r="O17" s="9">
        <v>150</v>
      </c>
      <c r="P17" s="10">
        <f t="shared" si="2"/>
        <v>1800</v>
      </c>
    </row>
    <row r="18" spans="1:18" s="8" customFormat="1" ht="12">
      <c r="C18" s="8" t="s">
        <v>53</v>
      </c>
      <c r="D18" s="9">
        <v>10</v>
      </c>
      <c r="E18" s="9">
        <v>10</v>
      </c>
      <c r="F18" s="9">
        <v>10</v>
      </c>
      <c r="G18" s="9">
        <v>10</v>
      </c>
      <c r="H18" s="9">
        <v>10</v>
      </c>
      <c r="I18" s="9">
        <v>10</v>
      </c>
      <c r="J18" s="9">
        <v>10</v>
      </c>
      <c r="K18" s="9">
        <v>10</v>
      </c>
      <c r="L18" s="9">
        <v>10</v>
      </c>
      <c r="M18" s="9">
        <v>10</v>
      </c>
      <c r="N18" s="9">
        <v>10</v>
      </c>
      <c r="O18" s="9">
        <v>10</v>
      </c>
      <c r="P18" s="10">
        <f t="shared" si="2"/>
        <v>120</v>
      </c>
    </row>
    <row r="19" spans="1:18" s="8" customFormat="1" ht="12">
      <c r="C19" s="8" t="s">
        <v>48</v>
      </c>
      <c r="D19" s="9">
        <v>400</v>
      </c>
      <c r="E19" s="9">
        <v>400</v>
      </c>
      <c r="F19" s="9">
        <v>400</v>
      </c>
      <c r="G19" s="9">
        <v>400</v>
      </c>
      <c r="H19" s="9">
        <v>400</v>
      </c>
      <c r="I19" s="9">
        <v>400</v>
      </c>
      <c r="J19" s="9">
        <v>400</v>
      </c>
      <c r="K19" s="9">
        <v>400</v>
      </c>
      <c r="L19" s="9">
        <v>400</v>
      </c>
      <c r="M19" s="9">
        <v>400</v>
      </c>
      <c r="N19" s="9">
        <v>400</v>
      </c>
      <c r="O19" s="9">
        <v>400</v>
      </c>
      <c r="P19" s="10">
        <f t="shared" si="2"/>
        <v>4800</v>
      </c>
    </row>
    <row r="20" spans="1:18" s="8" customFormat="1" ht="12">
      <c r="C20" s="8" t="s">
        <v>28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2565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10">
        <f t="shared" si="2"/>
        <v>2565</v>
      </c>
    </row>
    <row r="21" spans="1:18">
      <c r="A21" s="6" t="s">
        <v>29</v>
      </c>
      <c r="B21" s="6"/>
      <c r="C21" s="6"/>
      <c r="D21" s="15">
        <f t="shared" ref="D21:O21" si="3">SUM(D9:D20)</f>
        <v>701</v>
      </c>
      <c r="E21" s="15">
        <f t="shared" si="3"/>
        <v>701</v>
      </c>
      <c r="F21" s="15">
        <f t="shared" si="3"/>
        <v>701</v>
      </c>
      <c r="G21" s="15">
        <f t="shared" si="3"/>
        <v>2151</v>
      </c>
      <c r="H21" s="15">
        <f t="shared" si="3"/>
        <v>701</v>
      </c>
      <c r="I21" s="15">
        <f t="shared" si="3"/>
        <v>3266</v>
      </c>
      <c r="J21" s="15">
        <f t="shared" si="3"/>
        <v>1901</v>
      </c>
      <c r="K21" s="15">
        <f t="shared" si="3"/>
        <v>701</v>
      </c>
      <c r="L21" s="15">
        <f t="shared" si="3"/>
        <v>701</v>
      </c>
      <c r="M21" s="15">
        <f t="shared" si="3"/>
        <v>701</v>
      </c>
      <c r="N21" s="15">
        <f t="shared" si="3"/>
        <v>701</v>
      </c>
      <c r="O21" s="15">
        <f t="shared" si="3"/>
        <v>701</v>
      </c>
      <c r="P21" s="15">
        <f>SUM(P9:P20)</f>
        <v>13627</v>
      </c>
      <c r="R21" s="7">
        <f>SUM(D21:O21)</f>
        <v>13627</v>
      </c>
    </row>
    <row r="22" spans="1:18" s="13" customFormat="1" ht="7.5" customHeight="1">
      <c r="A22" s="16"/>
      <c r="B22" s="16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8">
      <c r="A23" s="6" t="s">
        <v>30</v>
      </c>
      <c r="B23" s="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8" s="8" customFormat="1" ht="12">
      <c r="C24" s="8" t="s">
        <v>31</v>
      </c>
      <c r="D24" s="9">
        <v>75</v>
      </c>
      <c r="E24" s="9">
        <v>75</v>
      </c>
      <c r="F24" s="9">
        <v>75</v>
      </c>
      <c r="G24" s="9">
        <v>75</v>
      </c>
      <c r="H24" s="9">
        <v>75</v>
      </c>
      <c r="I24" s="9">
        <v>75</v>
      </c>
      <c r="J24" s="9">
        <v>75</v>
      </c>
      <c r="K24" s="9">
        <v>75</v>
      </c>
      <c r="L24" s="9">
        <v>75</v>
      </c>
      <c r="M24" s="9">
        <v>75</v>
      </c>
      <c r="N24" s="9">
        <v>75</v>
      </c>
      <c r="O24" s="9">
        <v>75</v>
      </c>
      <c r="P24" s="10">
        <f t="shared" ref="P24:P30" si="4">SUM(D24:O24)</f>
        <v>900</v>
      </c>
    </row>
    <row r="25" spans="1:18" s="8" customFormat="1" ht="12">
      <c r="C25" s="8" t="s">
        <v>32</v>
      </c>
      <c r="D25" s="9">
        <v>200</v>
      </c>
      <c r="E25" s="9">
        <v>200</v>
      </c>
      <c r="F25" s="9">
        <v>200</v>
      </c>
      <c r="G25" s="9">
        <v>200</v>
      </c>
      <c r="H25" s="9">
        <v>200</v>
      </c>
      <c r="I25" s="9">
        <v>200</v>
      </c>
      <c r="J25" s="9">
        <v>200</v>
      </c>
      <c r="K25" s="9">
        <v>200</v>
      </c>
      <c r="L25" s="9">
        <v>200</v>
      </c>
      <c r="M25" s="9">
        <v>200</v>
      </c>
      <c r="N25" s="9">
        <v>200</v>
      </c>
      <c r="O25" s="9">
        <v>200</v>
      </c>
      <c r="P25" s="10">
        <f t="shared" si="4"/>
        <v>2400</v>
      </c>
    </row>
    <row r="26" spans="1:18" s="8" customFormat="1" ht="12">
      <c r="C26" s="8" t="s">
        <v>71</v>
      </c>
      <c r="D26" s="9">
        <v>110</v>
      </c>
      <c r="E26" s="9">
        <v>110</v>
      </c>
      <c r="F26" s="9">
        <v>110</v>
      </c>
      <c r="G26" s="9">
        <v>110</v>
      </c>
      <c r="H26" s="9">
        <v>110</v>
      </c>
      <c r="I26" s="9">
        <v>110</v>
      </c>
      <c r="J26" s="9">
        <v>110</v>
      </c>
      <c r="K26" s="9">
        <v>110</v>
      </c>
      <c r="L26" s="9">
        <v>110</v>
      </c>
      <c r="M26" s="9">
        <v>110</v>
      </c>
      <c r="N26" s="9">
        <v>110</v>
      </c>
      <c r="O26" s="9">
        <v>110</v>
      </c>
      <c r="P26" s="10">
        <f t="shared" si="4"/>
        <v>1320</v>
      </c>
    </row>
    <row r="27" spans="1:18" s="8" customFormat="1" ht="12">
      <c r="C27" s="8" t="s">
        <v>49</v>
      </c>
      <c r="D27" s="9">
        <v>200</v>
      </c>
      <c r="E27" s="9">
        <v>200</v>
      </c>
      <c r="F27" s="9">
        <v>200</v>
      </c>
      <c r="G27" s="9">
        <v>200</v>
      </c>
      <c r="H27" s="9">
        <v>200</v>
      </c>
      <c r="I27" s="9">
        <v>200</v>
      </c>
      <c r="J27" s="9">
        <v>200</v>
      </c>
      <c r="K27" s="9">
        <v>200</v>
      </c>
      <c r="L27" s="9">
        <v>200</v>
      </c>
      <c r="M27" s="9">
        <v>200</v>
      </c>
      <c r="N27" s="9">
        <v>200</v>
      </c>
      <c r="O27" s="9">
        <v>200</v>
      </c>
      <c r="P27" s="10">
        <f t="shared" si="4"/>
        <v>2400</v>
      </c>
    </row>
    <row r="28" spans="1:18" s="8" customFormat="1" ht="12">
      <c r="C28" s="8" t="s">
        <v>90</v>
      </c>
      <c r="D28" s="9">
        <v>20</v>
      </c>
      <c r="E28" s="9">
        <v>20</v>
      </c>
      <c r="F28" s="9">
        <v>20</v>
      </c>
      <c r="G28" s="9">
        <v>20</v>
      </c>
      <c r="H28" s="9">
        <v>20</v>
      </c>
      <c r="I28" s="9">
        <v>20</v>
      </c>
      <c r="J28" s="9">
        <v>20</v>
      </c>
      <c r="K28" s="9">
        <v>20</v>
      </c>
      <c r="L28" s="9">
        <v>20</v>
      </c>
      <c r="M28" s="9">
        <v>20</v>
      </c>
      <c r="N28" s="9">
        <v>20</v>
      </c>
      <c r="O28" s="9">
        <v>20</v>
      </c>
      <c r="P28" s="10">
        <f t="shared" si="4"/>
        <v>240</v>
      </c>
    </row>
    <row r="29" spans="1:18" s="8" customFormat="1" ht="12">
      <c r="C29" s="8" t="s">
        <v>50</v>
      </c>
      <c r="D29" s="9">
        <v>45</v>
      </c>
      <c r="E29" s="9">
        <v>45</v>
      </c>
      <c r="F29" s="9">
        <v>45</v>
      </c>
      <c r="G29" s="9">
        <v>45</v>
      </c>
      <c r="H29" s="9">
        <v>45</v>
      </c>
      <c r="I29" s="9">
        <v>45</v>
      </c>
      <c r="J29" s="9">
        <v>45</v>
      </c>
      <c r="K29" s="9">
        <v>45</v>
      </c>
      <c r="L29" s="9">
        <v>45</v>
      </c>
      <c r="M29" s="9">
        <v>45</v>
      </c>
      <c r="N29" s="9">
        <v>45</v>
      </c>
      <c r="O29" s="9">
        <v>45</v>
      </c>
      <c r="P29" s="10">
        <f t="shared" si="4"/>
        <v>540</v>
      </c>
    </row>
    <row r="30" spans="1:18" s="8" customFormat="1" ht="12">
      <c r="C30" s="8" t="s">
        <v>33</v>
      </c>
      <c r="D30" s="9">
        <v>5</v>
      </c>
      <c r="E30" s="9">
        <v>5</v>
      </c>
      <c r="F30" s="9">
        <v>5</v>
      </c>
      <c r="G30" s="9">
        <v>5</v>
      </c>
      <c r="H30" s="9">
        <v>5</v>
      </c>
      <c r="I30" s="9">
        <v>5</v>
      </c>
      <c r="J30" s="9">
        <v>5</v>
      </c>
      <c r="K30" s="9">
        <v>5</v>
      </c>
      <c r="L30" s="9">
        <v>5</v>
      </c>
      <c r="M30" s="9">
        <v>5</v>
      </c>
      <c r="N30" s="9">
        <v>5</v>
      </c>
      <c r="O30" s="9">
        <v>5</v>
      </c>
      <c r="P30" s="10">
        <f t="shared" si="4"/>
        <v>60</v>
      </c>
    </row>
    <row r="31" spans="1:18">
      <c r="A31" s="6" t="s">
        <v>34</v>
      </c>
      <c r="B31" s="6"/>
      <c r="C31" s="6"/>
      <c r="D31" s="12">
        <f t="shared" ref="D31:P31" si="5">SUM(D24:D30)</f>
        <v>655</v>
      </c>
      <c r="E31" s="12">
        <f t="shared" si="5"/>
        <v>655</v>
      </c>
      <c r="F31" s="12">
        <f t="shared" si="5"/>
        <v>655</v>
      </c>
      <c r="G31" s="12">
        <f t="shared" si="5"/>
        <v>655</v>
      </c>
      <c r="H31" s="12">
        <f t="shared" si="5"/>
        <v>655</v>
      </c>
      <c r="I31" s="12">
        <f t="shared" si="5"/>
        <v>655</v>
      </c>
      <c r="J31" s="12">
        <f t="shared" si="5"/>
        <v>655</v>
      </c>
      <c r="K31" s="12">
        <f t="shared" si="5"/>
        <v>655</v>
      </c>
      <c r="L31" s="12">
        <f t="shared" si="5"/>
        <v>655</v>
      </c>
      <c r="M31" s="12">
        <f t="shared" si="5"/>
        <v>655</v>
      </c>
      <c r="N31" s="12">
        <f t="shared" si="5"/>
        <v>655</v>
      </c>
      <c r="O31" s="12">
        <f t="shared" si="5"/>
        <v>655</v>
      </c>
      <c r="P31" s="12">
        <f t="shared" si="5"/>
        <v>7860</v>
      </c>
      <c r="R31" s="7">
        <f>SUM(D31:O31)</f>
        <v>7860</v>
      </c>
    </row>
    <row r="32" spans="1:18" s="13" customFormat="1" ht="6.75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8">
      <c r="A33" s="6" t="s">
        <v>35</v>
      </c>
      <c r="B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8" s="8" customFormat="1" ht="12">
      <c r="C34" s="8" t="s">
        <v>52</v>
      </c>
      <c r="D34" s="9">
        <v>1035</v>
      </c>
      <c r="E34" s="9">
        <v>1035</v>
      </c>
      <c r="F34" s="9">
        <v>1035</v>
      </c>
      <c r="G34" s="9">
        <v>1035</v>
      </c>
      <c r="H34" s="9">
        <v>1035</v>
      </c>
      <c r="I34" s="9">
        <v>1035</v>
      </c>
      <c r="J34" s="9">
        <v>1035</v>
      </c>
      <c r="K34" s="9">
        <v>1035</v>
      </c>
      <c r="L34" s="9">
        <v>1035</v>
      </c>
      <c r="M34" s="9">
        <v>1035</v>
      </c>
      <c r="N34" s="9">
        <v>1035</v>
      </c>
      <c r="O34" s="9">
        <v>1035</v>
      </c>
      <c r="P34" s="10">
        <f t="shared" ref="P34:P38" si="6">SUM(D34:O34)</f>
        <v>12420</v>
      </c>
    </row>
    <row r="35" spans="1:18" s="8" customFormat="1" ht="12">
      <c r="C35" s="8" t="s">
        <v>36</v>
      </c>
      <c r="D35" s="9">
        <v>30</v>
      </c>
      <c r="E35" s="9">
        <v>30</v>
      </c>
      <c r="F35" s="9">
        <v>30</v>
      </c>
      <c r="G35" s="9">
        <v>30</v>
      </c>
      <c r="H35" s="9">
        <v>30</v>
      </c>
      <c r="I35" s="9">
        <v>30</v>
      </c>
      <c r="J35" s="9">
        <v>30</v>
      </c>
      <c r="K35" s="9">
        <v>30</v>
      </c>
      <c r="L35" s="9">
        <v>30</v>
      </c>
      <c r="M35" s="9">
        <v>30</v>
      </c>
      <c r="N35" s="9">
        <v>30</v>
      </c>
      <c r="O35" s="9">
        <v>30</v>
      </c>
      <c r="P35" s="10">
        <f t="shared" si="6"/>
        <v>360</v>
      </c>
    </row>
    <row r="36" spans="1:18" s="8" customFormat="1" ht="12">
      <c r="C36" s="8" t="s">
        <v>37</v>
      </c>
      <c r="D36" s="9">
        <v>220</v>
      </c>
      <c r="E36" s="9">
        <v>220</v>
      </c>
      <c r="F36" s="9">
        <v>220</v>
      </c>
      <c r="G36" s="9">
        <v>220</v>
      </c>
      <c r="H36" s="9">
        <v>220</v>
      </c>
      <c r="I36" s="9">
        <v>220</v>
      </c>
      <c r="J36" s="9">
        <v>220</v>
      </c>
      <c r="K36" s="9">
        <v>220</v>
      </c>
      <c r="L36" s="9">
        <v>220</v>
      </c>
      <c r="M36" s="9">
        <v>220</v>
      </c>
      <c r="N36" s="9">
        <v>220</v>
      </c>
      <c r="O36" s="9">
        <v>220</v>
      </c>
      <c r="P36" s="10">
        <f t="shared" si="6"/>
        <v>2640</v>
      </c>
    </row>
    <row r="37" spans="1:18" s="8" customFormat="1" ht="12">
      <c r="C37" s="8" t="s">
        <v>38</v>
      </c>
      <c r="D37" s="9">
        <v>75</v>
      </c>
      <c r="E37" s="9"/>
      <c r="F37" s="9"/>
      <c r="G37" s="9">
        <v>75</v>
      </c>
      <c r="H37" s="9"/>
      <c r="I37" s="9"/>
      <c r="J37" s="9">
        <v>75</v>
      </c>
      <c r="K37" s="9"/>
      <c r="L37" s="9"/>
      <c r="M37" s="9">
        <v>75</v>
      </c>
      <c r="N37" s="9"/>
      <c r="O37" s="9"/>
      <c r="P37" s="10">
        <f t="shared" si="6"/>
        <v>300</v>
      </c>
    </row>
    <row r="38" spans="1:18" s="8" customFormat="1" ht="12">
      <c r="C38" s="8" t="s">
        <v>39</v>
      </c>
      <c r="D38" s="9">
        <v>150</v>
      </c>
      <c r="E38" s="9">
        <v>150</v>
      </c>
      <c r="F38" s="9">
        <v>150</v>
      </c>
      <c r="G38" s="9">
        <v>150</v>
      </c>
      <c r="H38" s="9">
        <v>150</v>
      </c>
      <c r="I38" s="9">
        <v>150</v>
      </c>
      <c r="J38" s="9">
        <v>150</v>
      </c>
      <c r="K38" s="9">
        <v>150</v>
      </c>
      <c r="L38" s="9">
        <v>150</v>
      </c>
      <c r="M38" s="9">
        <v>150</v>
      </c>
      <c r="N38" s="9">
        <v>150</v>
      </c>
      <c r="O38" s="9">
        <v>150</v>
      </c>
      <c r="P38" s="10">
        <f t="shared" si="6"/>
        <v>1800</v>
      </c>
    </row>
    <row r="39" spans="1:18">
      <c r="A39" s="6" t="s">
        <v>40</v>
      </c>
      <c r="B39" s="6"/>
      <c r="C39" s="6"/>
      <c r="D39" s="12">
        <f t="shared" ref="D39:P39" si="7">SUM(D34:D38)</f>
        <v>1510</v>
      </c>
      <c r="E39" s="12">
        <f t="shared" si="7"/>
        <v>1435</v>
      </c>
      <c r="F39" s="12">
        <f t="shared" si="7"/>
        <v>1435</v>
      </c>
      <c r="G39" s="12">
        <f t="shared" si="7"/>
        <v>1510</v>
      </c>
      <c r="H39" s="12">
        <f t="shared" si="7"/>
        <v>1435</v>
      </c>
      <c r="I39" s="12">
        <f t="shared" si="7"/>
        <v>1435</v>
      </c>
      <c r="J39" s="12">
        <f t="shared" si="7"/>
        <v>1510</v>
      </c>
      <c r="K39" s="12">
        <f t="shared" si="7"/>
        <v>1435</v>
      </c>
      <c r="L39" s="12">
        <f t="shared" si="7"/>
        <v>1435</v>
      </c>
      <c r="M39" s="12">
        <f t="shared" si="7"/>
        <v>1510</v>
      </c>
      <c r="N39" s="12">
        <f t="shared" si="7"/>
        <v>1435</v>
      </c>
      <c r="O39" s="12">
        <f t="shared" si="7"/>
        <v>1435</v>
      </c>
      <c r="P39" s="12">
        <f t="shared" si="7"/>
        <v>17520</v>
      </c>
      <c r="R39" s="7">
        <f>SUM(D39:O39)</f>
        <v>17520</v>
      </c>
    </row>
    <row r="40" spans="1:18" s="13" customFormat="1" ht="8.25" customHeight="1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8">
      <c r="A41" s="6" t="s">
        <v>41</v>
      </c>
      <c r="B41" s="6"/>
      <c r="D41" s="32"/>
      <c r="E41" s="32"/>
      <c r="F41" s="18"/>
      <c r="G41" s="7" t="s">
        <v>0</v>
      </c>
      <c r="H41" s="7"/>
      <c r="I41" s="7"/>
      <c r="J41" s="7"/>
      <c r="K41" s="7"/>
      <c r="L41" s="7"/>
      <c r="M41" s="7"/>
      <c r="N41" s="7"/>
      <c r="O41" s="7"/>
      <c r="P41" s="7"/>
    </row>
    <row r="42" spans="1:18" s="8" customFormat="1" ht="12">
      <c r="C42" s="8" t="s">
        <v>92</v>
      </c>
      <c r="D42" s="9">
        <v>3369.6</v>
      </c>
      <c r="E42" s="9">
        <v>3369.6</v>
      </c>
      <c r="F42" s="9">
        <v>3369.6</v>
      </c>
      <c r="G42" s="9">
        <v>3369.6</v>
      </c>
      <c r="H42" s="9">
        <v>3369.6</v>
      </c>
      <c r="I42" s="9">
        <v>3369.6</v>
      </c>
      <c r="J42" s="9">
        <v>3369.6</v>
      </c>
      <c r="K42" s="9">
        <v>3369.6</v>
      </c>
      <c r="L42" s="9">
        <v>3369.6</v>
      </c>
      <c r="M42" s="9">
        <v>3369.6</v>
      </c>
      <c r="N42" s="9">
        <v>3369.6</v>
      </c>
      <c r="O42" s="9">
        <v>3369.6</v>
      </c>
      <c r="P42" s="10">
        <f t="shared" ref="P42:P47" si="8">SUM(D42:O42)</f>
        <v>40435.19999999999</v>
      </c>
    </row>
    <row r="43" spans="1:18" s="8" customFormat="1" ht="12">
      <c r="C43" s="8" t="s">
        <v>87</v>
      </c>
      <c r="D43" s="9">
        <v>1192</v>
      </c>
      <c r="E43" s="9">
        <v>1192</v>
      </c>
      <c r="F43" s="9">
        <v>1192</v>
      </c>
      <c r="G43" s="9">
        <v>1192</v>
      </c>
      <c r="H43" s="9">
        <v>1192</v>
      </c>
      <c r="I43" s="9">
        <v>1192</v>
      </c>
      <c r="J43" s="9">
        <v>1192</v>
      </c>
      <c r="K43" s="9">
        <v>1192</v>
      </c>
      <c r="L43" s="9">
        <v>1192</v>
      </c>
      <c r="M43" s="9">
        <v>1192</v>
      </c>
      <c r="N43" s="9">
        <v>1192</v>
      </c>
      <c r="O43" s="9">
        <v>1192</v>
      </c>
      <c r="P43" s="10">
        <f t="shared" si="8"/>
        <v>14304</v>
      </c>
    </row>
    <row r="44" spans="1:18" s="8" customFormat="1" ht="12">
      <c r="C44" s="8" t="s">
        <v>88</v>
      </c>
      <c r="D44" s="9">
        <v>1248</v>
      </c>
      <c r="E44" s="9">
        <v>1248</v>
      </c>
      <c r="F44" s="9">
        <v>1248</v>
      </c>
      <c r="G44" s="9">
        <v>1248</v>
      </c>
      <c r="H44" s="9">
        <v>1248</v>
      </c>
      <c r="I44" s="9">
        <v>1248</v>
      </c>
      <c r="J44" s="9">
        <v>1248</v>
      </c>
      <c r="K44" s="9">
        <v>1248</v>
      </c>
      <c r="L44" s="9">
        <v>1248</v>
      </c>
      <c r="M44" s="9">
        <v>1248</v>
      </c>
      <c r="N44" s="9">
        <v>1248</v>
      </c>
      <c r="O44" s="9">
        <v>1248</v>
      </c>
      <c r="P44" s="10">
        <f t="shared" si="8"/>
        <v>14976</v>
      </c>
    </row>
    <row r="45" spans="1:18" s="8" customFormat="1" ht="12">
      <c r="C45" s="8" t="s">
        <v>42</v>
      </c>
      <c r="D45" s="9">
        <v>741.75</v>
      </c>
      <c r="E45" s="9">
        <v>741.75</v>
      </c>
      <c r="F45" s="9">
        <v>741.75</v>
      </c>
      <c r="G45" s="9">
        <v>741.75</v>
      </c>
      <c r="H45" s="9">
        <v>741.75</v>
      </c>
      <c r="I45" s="9">
        <v>741.75</v>
      </c>
      <c r="J45" s="9">
        <v>741.75</v>
      </c>
      <c r="K45" s="9">
        <v>741.75</v>
      </c>
      <c r="L45" s="9">
        <v>741.75</v>
      </c>
      <c r="M45" s="9">
        <v>741.75</v>
      </c>
      <c r="N45" s="9">
        <v>741.75</v>
      </c>
      <c r="O45" s="9">
        <v>741.75</v>
      </c>
      <c r="P45" s="10">
        <f t="shared" si="8"/>
        <v>8901</v>
      </c>
    </row>
    <row r="46" spans="1:18" s="8" customFormat="1" ht="12">
      <c r="C46" s="8" t="s">
        <v>43</v>
      </c>
      <c r="D46" s="9">
        <v>50</v>
      </c>
      <c r="E46" s="9">
        <v>50</v>
      </c>
      <c r="F46" s="9">
        <v>50</v>
      </c>
      <c r="G46" s="9">
        <v>50</v>
      </c>
      <c r="H46" s="9">
        <v>50</v>
      </c>
      <c r="I46" s="9">
        <v>50</v>
      </c>
      <c r="J46" s="9">
        <v>50</v>
      </c>
      <c r="K46" s="9">
        <v>50</v>
      </c>
      <c r="L46" s="9">
        <v>50</v>
      </c>
      <c r="M46" s="9">
        <v>50</v>
      </c>
      <c r="N46" s="9">
        <v>50</v>
      </c>
      <c r="O46" s="9">
        <v>50</v>
      </c>
      <c r="P46" s="10">
        <f t="shared" si="8"/>
        <v>600</v>
      </c>
    </row>
    <row r="47" spans="1:18" s="8" customFormat="1" ht="12">
      <c r="C47" s="8" t="s">
        <v>44</v>
      </c>
      <c r="D47" s="9">
        <v>317</v>
      </c>
      <c r="E47" s="9">
        <v>317</v>
      </c>
      <c r="F47" s="9">
        <v>317</v>
      </c>
      <c r="G47" s="9">
        <v>317</v>
      </c>
      <c r="H47" s="9">
        <v>317</v>
      </c>
      <c r="I47" s="9">
        <v>317</v>
      </c>
      <c r="J47" s="9">
        <v>317</v>
      </c>
      <c r="K47" s="9">
        <v>317</v>
      </c>
      <c r="L47" s="9">
        <v>317</v>
      </c>
      <c r="M47" s="9">
        <v>317</v>
      </c>
      <c r="N47" s="9">
        <v>317</v>
      </c>
      <c r="O47" s="9">
        <v>317</v>
      </c>
      <c r="P47" s="10">
        <f t="shared" si="8"/>
        <v>3804</v>
      </c>
      <c r="Q47" s="10"/>
    </row>
    <row r="48" spans="1:18">
      <c r="A48" s="6" t="s">
        <v>45</v>
      </c>
      <c r="B48" s="6"/>
      <c r="C48" s="6"/>
      <c r="D48" s="12">
        <f>SUM(D42:D47)</f>
        <v>6918.35</v>
      </c>
      <c r="E48" s="12">
        <f>SUM(E42:E47)</f>
        <v>6918.35</v>
      </c>
      <c r="F48" s="12">
        <f>SUM(F41:F47)</f>
        <v>6918.35</v>
      </c>
      <c r="G48" s="12">
        <f t="shared" ref="G48:P48" si="9">SUM(G42:G47)</f>
        <v>6918.35</v>
      </c>
      <c r="H48" s="12">
        <f t="shared" si="9"/>
        <v>6918.35</v>
      </c>
      <c r="I48" s="12">
        <f t="shared" si="9"/>
        <v>6918.35</v>
      </c>
      <c r="J48" s="12">
        <f t="shared" si="9"/>
        <v>6918.35</v>
      </c>
      <c r="K48" s="12">
        <f t="shared" si="9"/>
        <v>6918.35</v>
      </c>
      <c r="L48" s="12">
        <f t="shared" si="9"/>
        <v>6918.35</v>
      </c>
      <c r="M48" s="12">
        <f t="shared" si="9"/>
        <v>6918.35</v>
      </c>
      <c r="N48" s="12">
        <f t="shared" si="9"/>
        <v>6918.35</v>
      </c>
      <c r="O48" s="12">
        <f t="shared" si="9"/>
        <v>6918.35</v>
      </c>
      <c r="P48" s="12">
        <f t="shared" si="9"/>
        <v>83020.199999999983</v>
      </c>
      <c r="Q48" s="7"/>
      <c r="R48" s="7">
        <f>SUM(D48:O48)</f>
        <v>83020.200000000012</v>
      </c>
    </row>
    <row r="49" spans="1:18" s="13" customFormat="1" ht="6.75" customHeight="1">
      <c r="D49" s="14"/>
      <c r="E49" s="14"/>
      <c r="F49" s="19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8">
      <c r="A50" s="6" t="s">
        <v>46</v>
      </c>
      <c r="B50" s="6"/>
      <c r="C50" s="6"/>
      <c r="D50" s="15">
        <f t="shared" ref="D50:P50" si="10">SUM(D21,D31,D39,D48)</f>
        <v>9784.35</v>
      </c>
      <c r="E50" s="15">
        <f t="shared" si="10"/>
        <v>9709.35</v>
      </c>
      <c r="F50" s="15">
        <f t="shared" si="10"/>
        <v>9709.35</v>
      </c>
      <c r="G50" s="15">
        <f t="shared" si="10"/>
        <v>11234.35</v>
      </c>
      <c r="H50" s="15">
        <f t="shared" si="10"/>
        <v>9709.35</v>
      </c>
      <c r="I50" s="15">
        <f t="shared" si="10"/>
        <v>12274.35</v>
      </c>
      <c r="J50" s="15">
        <f t="shared" si="10"/>
        <v>10984.35</v>
      </c>
      <c r="K50" s="15">
        <f t="shared" si="10"/>
        <v>9709.35</v>
      </c>
      <c r="L50" s="15">
        <f t="shared" si="10"/>
        <v>9709.35</v>
      </c>
      <c r="M50" s="15">
        <f t="shared" si="10"/>
        <v>9784.35</v>
      </c>
      <c r="N50" s="15">
        <f t="shared" si="10"/>
        <v>9709.35</v>
      </c>
      <c r="O50" s="15">
        <f t="shared" si="10"/>
        <v>9709.35</v>
      </c>
      <c r="P50" s="15">
        <f t="shared" si="10"/>
        <v>122027.19999999998</v>
      </c>
      <c r="R50" s="7">
        <f>SUM(D50:O50)</f>
        <v>122027.20000000003</v>
      </c>
    </row>
    <row r="51" spans="1:18" s="13" customFormat="1" ht="6.75" customHeight="1"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8">
      <c r="A52" s="6" t="s">
        <v>47</v>
      </c>
      <c r="B52" s="6"/>
      <c r="D52" s="7">
        <f t="shared" ref="D52:P52" si="11">D5-D50</f>
        <v>21418.65</v>
      </c>
      <c r="E52" s="7">
        <f t="shared" si="11"/>
        <v>-9706.35</v>
      </c>
      <c r="F52" s="7">
        <f t="shared" si="11"/>
        <v>-9706.35</v>
      </c>
      <c r="G52" s="7">
        <f t="shared" si="11"/>
        <v>19968.650000000001</v>
      </c>
      <c r="H52" s="7">
        <f t="shared" si="11"/>
        <v>-9706.35</v>
      </c>
      <c r="I52" s="7">
        <f t="shared" si="11"/>
        <v>-12271.35</v>
      </c>
      <c r="J52" s="7">
        <f t="shared" si="11"/>
        <v>20218.650000000001</v>
      </c>
      <c r="K52" s="7">
        <f t="shared" si="11"/>
        <v>-9706.35</v>
      </c>
      <c r="L52" s="7">
        <f t="shared" si="11"/>
        <v>-9706.35</v>
      </c>
      <c r="M52" s="7">
        <f t="shared" si="11"/>
        <v>21418.65</v>
      </c>
      <c r="N52" s="7">
        <f t="shared" si="11"/>
        <v>-9706.35</v>
      </c>
      <c r="O52" s="7">
        <f t="shared" si="11"/>
        <v>-9706.35</v>
      </c>
      <c r="P52" s="7">
        <f t="shared" si="11"/>
        <v>2808.8000000000175</v>
      </c>
    </row>
  </sheetData>
  <mergeCells count="1">
    <mergeCell ref="D41:E41"/>
  </mergeCells>
  <printOptions gridLines="1"/>
  <pageMargins left="0.51" right="0.45" top="0.65" bottom="0.55000000000000004" header="0.34" footer="0.34"/>
  <pageSetup scale="76" orientation="landscape" r:id="rId1"/>
  <headerFooter alignWithMargins="0">
    <oddHeader>&amp;C&amp;"Arial,Bold"&amp;12Montague Community Cable, Inc.
2016 Draft Budget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R47"/>
  <sheetViews>
    <sheetView topLeftCell="B29" workbookViewId="0">
      <selection activeCell="D39" sqref="D39"/>
    </sheetView>
  </sheetViews>
  <sheetFormatPr defaultRowHeight="15"/>
  <cols>
    <col min="1" max="1" width="8.5703125" style="21" customWidth="1"/>
    <col min="2" max="2" width="27.42578125" style="21" customWidth="1"/>
    <col min="3" max="4" width="9.140625" style="21"/>
    <col min="5" max="5" width="10.7109375" style="21" customWidth="1"/>
    <col min="6" max="6" width="12" style="21" customWidth="1"/>
    <col min="7" max="16384" width="9.140625" style="21"/>
  </cols>
  <sheetData>
    <row r="1" spans="1:18" s="20" customFormat="1" hidden="1">
      <c r="A1" s="20" t="s">
        <v>54</v>
      </c>
      <c r="B1" s="20" t="s">
        <v>55</v>
      </c>
      <c r="C1" s="20" t="s">
        <v>56</v>
      </c>
      <c r="D1" s="20" t="s">
        <v>57</v>
      </c>
      <c r="E1" s="20" t="s">
        <v>58</v>
      </c>
      <c r="G1" s="20" t="s">
        <v>59</v>
      </c>
      <c r="H1" s="20" t="s">
        <v>60</v>
      </c>
      <c r="I1" s="20" t="s">
        <v>61</v>
      </c>
      <c r="J1" s="20" t="s">
        <v>62</v>
      </c>
      <c r="K1" s="20" t="s">
        <v>63</v>
      </c>
      <c r="M1" s="20" t="s">
        <v>13</v>
      </c>
    </row>
    <row r="2" spans="1:18" hidden="1">
      <c r="A2" s="20"/>
      <c r="B2" s="20"/>
      <c r="C2" s="20"/>
      <c r="D2" s="20"/>
      <c r="E2" s="20"/>
      <c r="H2" s="21">
        <v>6.2E-2</v>
      </c>
      <c r="I2" s="21">
        <v>1.4500000000000001E-2</v>
      </c>
      <c r="J2" s="21">
        <v>0.11550000000000001</v>
      </c>
    </row>
    <row r="3" spans="1:18" hidden="1">
      <c r="A3" s="21" t="s">
        <v>64</v>
      </c>
      <c r="B3" s="21" t="s">
        <v>65</v>
      </c>
      <c r="C3" s="21">
        <v>30</v>
      </c>
      <c r="D3" s="21">
        <v>20.6</v>
      </c>
      <c r="E3" s="22">
        <f>C3*52*D3</f>
        <v>32136.000000000004</v>
      </c>
      <c r="H3" s="22">
        <f>E3*0.062</f>
        <v>1992.4320000000002</v>
      </c>
      <c r="I3" s="22">
        <f>E3*0.0145</f>
        <v>465.97200000000009</v>
      </c>
      <c r="J3" s="22">
        <f>14000*0.1155</f>
        <v>1617</v>
      </c>
      <c r="K3" s="22">
        <f>SUM(H3:J3)</f>
        <v>4075.4040000000005</v>
      </c>
      <c r="L3" s="22"/>
      <c r="M3" s="22">
        <f>E3+G3+K3</f>
        <v>36211.404000000002</v>
      </c>
    </row>
    <row r="4" spans="1:18" hidden="1">
      <c r="A4" s="21" t="s">
        <v>66</v>
      </c>
      <c r="B4" s="21" t="s">
        <v>67</v>
      </c>
      <c r="C4" s="21">
        <v>12</v>
      </c>
      <c r="D4" s="21">
        <v>15</v>
      </c>
      <c r="E4" s="22">
        <f>C4*52*D4</f>
        <v>9360</v>
      </c>
      <c r="H4" s="22">
        <f>E4*0.062</f>
        <v>580.32000000000005</v>
      </c>
      <c r="I4" s="22">
        <f>E4*0.0145</f>
        <v>135.72</v>
      </c>
      <c r="J4" s="22">
        <f>E4*0.1155</f>
        <v>1081.0800000000002</v>
      </c>
      <c r="K4" s="22">
        <f>SUM(H4:J4)</f>
        <v>1797.1200000000003</v>
      </c>
      <c r="L4" s="22"/>
      <c r="M4" s="22">
        <f>E4+G4+K4</f>
        <v>11157.12</v>
      </c>
    </row>
    <row r="5" spans="1:18" hidden="1">
      <c r="A5" s="21" t="s">
        <v>68</v>
      </c>
      <c r="B5" s="21" t="s">
        <v>69</v>
      </c>
      <c r="C5" s="21">
        <v>23</v>
      </c>
      <c r="D5" s="21">
        <v>18</v>
      </c>
      <c r="E5" s="22">
        <f>C5*52*D5</f>
        <v>21528</v>
      </c>
      <c r="H5" s="22">
        <f>E5*0.062</f>
        <v>1334.7360000000001</v>
      </c>
      <c r="I5" s="22">
        <f>E5*0.0145</f>
        <v>312.15600000000001</v>
      </c>
      <c r="J5" s="22">
        <f>14000*0.1155</f>
        <v>1617</v>
      </c>
      <c r="K5" s="22">
        <f>SUM(H5:J5)</f>
        <v>3263.8919999999998</v>
      </c>
      <c r="L5" s="22"/>
      <c r="M5" s="22">
        <f>E5+G5+K5</f>
        <v>24791.892</v>
      </c>
    </row>
    <row r="6" spans="1:18" hidden="1">
      <c r="M6" s="22">
        <f>SUM(M3:M5)</f>
        <v>72160.415999999997</v>
      </c>
    </row>
    <row r="7" spans="1:18" hidden="1">
      <c r="A7" s="20" t="s">
        <v>54</v>
      </c>
      <c r="B7" s="20" t="s">
        <v>55</v>
      </c>
      <c r="C7" s="20" t="s">
        <v>56</v>
      </c>
      <c r="D7" s="20" t="s">
        <v>57</v>
      </c>
      <c r="E7" s="20" t="s">
        <v>58</v>
      </c>
      <c r="F7" s="20"/>
      <c r="G7" s="20" t="s">
        <v>59</v>
      </c>
      <c r="H7" s="20" t="s">
        <v>60</v>
      </c>
      <c r="I7" s="20" t="s">
        <v>61</v>
      </c>
      <c r="J7" s="20" t="s">
        <v>62</v>
      </c>
      <c r="K7" s="20" t="s">
        <v>63</v>
      </c>
      <c r="L7" s="20"/>
      <c r="M7" s="20" t="s">
        <v>13</v>
      </c>
      <c r="Q7" s="21">
        <v>26</v>
      </c>
    </row>
    <row r="8" spans="1:18" hidden="1">
      <c r="A8" s="20"/>
      <c r="B8" s="20"/>
      <c r="C8" s="20"/>
      <c r="D8" s="20"/>
      <c r="E8" s="20"/>
      <c r="H8" s="21">
        <v>6.2E-2</v>
      </c>
      <c r="I8" s="21">
        <v>1.4500000000000001E-2</v>
      </c>
      <c r="J8" s="21">
        <v>0.11550000000000001</v>
      </c>
      <c r="O8" s="21" t="s">
        <v>70</v>
      </c>
      <c r="Q8" s="23" t="s">
        <v>72</v>
      </c>
    </row>
    <row r="9" spans="1:18" hidden="1">
      <c r="A9" s="21" t="s">
        <v>64</v>
      </c>
      <c r="B9" s="21" t="s">
        <v>65</v>
      </c>
      <c r="C9" s="21">
        <v>30</v>
      </c>
      <c r="D9" s="21">
        <v>21.6</v>
      </c>
      <c r="E9" s="22">
        <f>C9*52*D9</f>
        <v>33696</v>
      </c>
      <c r="F9" s="22">
        <f>E9/12</f>
        <v>2808</v>
      </c>
      <c r="H9" s="22">
        <f>E9*0.062</f>
        <v>2089.152</v>
      </c>
      <c r="I9" s="22">
        <f>E9*0.0145</f>
        <v>488.59200000000004</v>
      </c>
      <c r="J9" s="22">
        <f>14000*0.1155</f>
        <v>1617</v>
      </c>
      <c r="K9" s="22">
        <f>SUM(H9:J9)</f>
        <v>4194.7440000000006</v>
      </c>
      <c r="L9" s="22">
        <f>K9/12</f>
        <v>349.56200000000007</v>
      </c>
      <c r="M9" s="22">
        <f>E9+G9+K9</f>
        <v>37890.743999999999</v>
      </c>
      <c r="O9" s="21">
        <f>300*12</f>
        <v>3600</v>
      </c>
      <c r="P9" s="21">
        <f>O9/12</f>
        <v>300</v>
      </c>
      <c r="Q9" s="22">
        <f>O9/26</f>
        <v>138.46153846153845</v>
      </c>
    </row>
    <row r="10" spans="1:18" hidden="1">
      <c r="A10" s="21" t="s">
        <v>66</v>
      </c>
      <c r="B10" s="21" t="s">
        <v>67</v>
      </c>
      <c r="C10" s="21">
        <v>15</v>
      </c>
      <c r="D10" s="21">
        <v>18</v>
      </c>
      <c r="E10" s="22">
        <f>C10*52*D10</f>
        <v>14040</v>
      </c>
      <c r="F10" s="22">
        <f t="shared" ref="F10:F11" si="0">E10/12</f>
        <v>1170</v>
      </c>
      <c r="H10" s="22">
        <f>E10*0.062</f>
        <v>870.48</v>
      </c>
      <c r="I10" s="22">
        <f>E10*0.0145</f>
        <v>203.58</v>
      </c>
      <c r="J10" s="22">
        <f>14000*0.1155</f>
        <v>1617</v>
      </c>
      <c r="K10" s="22">
        <f>SUM(H10:J10)</f>
        <v>2691.06</v>
      </c>
      <c r="L10" s="22">
        <f t="shared" ref="L10:L11" si="1">K10/12</f>
        <v>224.255</v>
      </c>
      <c r="M10" s="22">
        <f>E10+G10+K10</f>
        <v>16731.060000000001</v>
      </c>
      <c r="O10" s="21">
        <f>150*12</f>
        <v>1800</v>
      </c>
      <c r="P10" s="21">
        <f t="shared" ref="P10:P11" si="2">O10/12</f>
        <v>150</v>
      </c>
      <c r="Q10" s="22">
        <f t="shared" ref="Q10:Q11" si="3">O10/26</f>
        <v>69.230769230769226</v>
      </c>
    </row>
    <row r="11" spans="1:18" hidden="1">
      <c r="A11" s="21" t="s">
        <v>68</v>
      </c>
      <c r="B11" s="21" t="s">
        <v>69</v>
      </c>
      <c r="C11" s="21">
        <v>25</v>
      </c>
      <c r="D11" s="21">
        <v>20</v>
      </c>
      <c r="E11" s="22">
        <f>C11*52*D11</f>
        <v>26000</v>
      </c>
      <c r="F11" s="22">
        <f t="shared" si="0"/>
        <v>2166.6666666666665</v>
      </c>
      <c r="H11" s="22">
        <f>E11*0.062</f>
        <v>1612</v>
      </c>
      <c r="I11" s="22">
        <f>E11*0.0145</f>
        <v>377</v>
      </c>
      <c r="J11" s="22">
        <f>14000*0.1155</f>
        <v>1617</v>
      </c>
      <c r="K11" s="22">
        <f>SUM(H11:J11)</f>
        <v>3606</v>
      </c>
      <c r="L11" s="22">
        <f t="shared" si="1"/>
        <v>300.5</v>
      </c>
      <c r="M11" s="22">
        <f>E11+G11+K11</f>
        <v>29606</v>
      </c>
      <c r="O11" s="21">
        <f>250*12</f>
        <v>3000</v>
      </c>
      <c r="P11" s="21">
        <f t="shared" si="2"/>
        <v>250</v>
      </c>
      <c r="Q11" s="22">
        <f t="shared" si="3"/>
        <v>115.38461538461539</v>
      </c>
    </row>
    <row r="12" spans="1:18" hidden="1">
      <c r="L12" s="22">
        <f>SUM(L9:L11)</f>
        <v>874.31700000000001</v>
      </c>
      <c r="M12" s="22">
        <f>SUM(M9:M11)</f>
        <v>84227.804000000004</v>
      </c>
      <c r="P12" s="21">
        <f>SUM(P9:P11)</f>
        <v>700</v>
      </c>
    </row>
    <row r="13" spans="1:18" hidden="1"/>
    <row r="14" spans="1:18" hidden="1"/>
    <row r="15" spans="1:18" hidden="1">
      <c r="O15" s="21">
        <f>120*12</f>
        <v>1440</v>
      </c>
      <c r="Q15" s="22">
        <f t="shared" ref="Q15" si="4">O15/26</f>
        <v>55.384615384615387</v>
      </c>
      <c r="R15" s="24" t="s">
        <v>73</v>
      </c>
    </row>
    <row r="16" spans="1:18" hidden="1"/>
    <row r="17" spans="2:17" hidden="1"/>
    <row r="18" spans="2:17" hidden="1"/>
    <row r="19" spans="2:17" hidden="1"/>
    <row r="20" spans="2:17" hidden="1">
      <c r="B20" s="25" t="s">
        <v>74</v>
      </c>
    </row>
    <row r="21" spans="2:17" hidden="1">
      <c r="B21" s="25" t="s">
        <v>75</v>
      </c>
    </row>
    <row r="22" spans="2:17" hidden="1">
      <c r="B22" s="20" t="s">
        <v>55</v>
      </c>
      <c r="C22" s="20" t="s">
        <v>56</v>
      </c>
      <c r="D22" s="20" t="s">
        <v>57</v>
      </c>
      <c r="E22" s="20" t="s">
        <v>58</v>
      </c>
      <c r="F22" s="20" t="s">
        <v>76</v>
      </c>
      <c r="G22" s="20" t="s">
        <v>59</v>
      </c>
      <c r="H22" s="20" t="s">
        <v>60</v>
      </c>
      <c r="I22" s="20" t="s">
        <v>61</v>
      </c>
      <c r="J22" s="20" t="s">
        <v>62</v>
      </c>
      <c r="K22" s="20" t="s">
        <v>63</v>
      </c>
      <c r="L22" s="20" t="s">
        <v>76</v>
      </c>
      <c r="M22" s="20" t="s">
        <v>13</v>
      </c>
      <c r="Q22" s="21">
        <v>26</v>
      </c>
    </row>
    <row r="23" spans="2:17" hidden="1">
      <c r="B23" s="20"/>
      <c r="C23" s="20"/>
      <c r="D23" s="20"/>
      <c r="E23" s="20"/>
      <c r="H23" s="21">
        <v>6.2E-2</v>
      </c>
      <c r="I23" s="21">
        <v>1.4500000000000001E-2</v>
      </c>
      <c r="J23" s="25">
        <v>0.01</v>
      </c>
      <c r="O23" s="21" t="s">
        <v>70</v>
      </c>
      <c r="Q23" s="23" t="s">
        <v>72</v>
      </c>
    </row>
    <row r="24" spans="2:17" hidden="1">
      <c r="B24" s="21" t="s">
        <v>65</v>
      </c>
      <c r="C24" s="21">
        <v>38</v>
      </c>
      <c r="D24" s="21">
        <v>21.6</v>
      </c>
      <c r="E24" s="22">
        <f>C24*52*D24</f>
        <v>42681.600000000006</v>
      </c>
      <c r="F24" s="22">
        <f>E24/12</f>
        <v>3556.8000000000006</v>
      </c>
      <c r="H24" s="22">
        <f>E24*0.062</f>
        <v>2646.2592000000004</v>
      </c>
      <c r="I24" s="22">
        <f>E24*0.0145</f>
        <v>618.8832000000001</v>
      </c>
      <c r="J24" s="22">
        <f>14000*0.1</f>
        <v>1400</v>
      </c>
      <c r="K24" s="22">
        <f>SUM(H24:J24)</f>
        <v>4665.1424000000006</v>
      </c>
      <c r="L24" s="22">
        <f>K24/12</f>
        <v>388.76186666666672</v>
      </c>
      <c r="M24" s="22">
        <f>E24+G24+K24</f>
        <v>47346.742400000003</v>
      </c>
      <c r="O24" s="21">
        <v>3800</v>
      </c>
      <c r="P24" s="21">
        <f>O24/12</f>
        <v>316.66666666666669</v>
      </c>
      <c r="Q24" s="22">
        <f>O24/26</f>
        <v>146.15384615384616</v>
      </c>
    </row>
    <row r="25" spans="2:17" hidden="1">
      <c r="B25" s="25" t="s">
        <v>77</v>
      </c>
      <c r="C25" s="21">
        <v>40</v>
      </c>
      <c r="D25" s="21">
        <v>10</v>
      </c>
      <c r="E25" s="22">
        <f>C25*52*D25</f>
        <v>20800</v>
      </c>
      <c r="F25" s="22">
        <f>E25/12</f>
        <v>1733.3333333333333</v>
      </c>
      <c r="H25" s="22">
        <f>E25*0.062</f>
        <v>1289.5999999999999</v>
      </c>
      <c r="I25" s="22">
        <f>E25*0.0145</f>
        <v>301.60000000000002</v>
      </c>
      <c r="J25" s="22">
        <f>14000*0.1</f>
        <v>1400</v>
      </c>
      <c r="K25" s="22">
        <f>SUM(H25:J25)</f>
        <v>2991.2</v>
      </c>
      <c r="L25" s="22">
        <f>K25/12</f>
        <v>249.26666666666665</v>
      </c>
      <c r="M25" s="22">
        <f>E25+G25+K25</f>
        <v>23791.200000000001</v>
      </c>
      <c r="Q25" s="22"/>
    </row>
    <row r="26" spans="2:17" hidden="1">
      <c r="E26" s="22"/>
      <c r="F26" s="22"/>
      <c r="H26" s="22"/>
      <c r="I26" s="22"/>
      <c r="J26" s="22"/>
      <c r="K26" s="22"/>
      <c r="L26" s="22">
        <f>SUM(L24:L25)</f>
        <v>638.02853333333337</v>
      </c>
      <c r="M26" s="22"/>
      <c r="Q26" s="22"/>
    </row>
    <row r="27" spans="2:17" hidden="1">
      <c r="L27" s="22"/>
      <c r="M27" s="22"/>
    </row>
    <row r="28" spans="2:17" hidden="1"/>
    <row r="29" spans="2:17" s="29" customFormat="1">
      <c r="B29" s="29">
        <v>2016</v>
      </c>
    </row>
    <row r="30" spans="2:17">
      <c r="B30" s="20" t="s">
        <v>55</v>
      </c>
      <c r="C30" s="20" t="s">
        <v>56</v>
      </c>
      <c r="D30" s="20" t="s">
        <v>57</v>
      </c>
      <c r="E30" s="20" t="s">
        <v>58</v>
      </c>
      <c r="F30" s="20" t="s">
        <v>76</v>
      </c>
      <c r="G30" s="20" t="s">
        <v>59</v>
      </c>
      <c r="H30" s="20" t="s">
        <v>60</v>
      </c>
      <c r="I30" s="20" t="s">
        <v>61</v>
      </c>
      <c r="J30" s="20" t="s">
        <v>62</v>
      </c>
      <c r="K30" s="20" t="s">
        <v>63</v>
      </c>
      <c r="L30" s="20" t="s">
        <v>76</v>
      </c>
      <c r="M30" s="20" t="s">
        <v>13</v>
      </c>
      <c r="Q30" s="21">
        <v>26</v>
      </c>
    </row>
    <row r="32" spans="2:17">
      <c r="B32" s="21" t="s">
        <v>65</v>
      </c>
      <c r="C32" s="21">
        <v>36</v>
      </c>
      <c r="D32" s="21">
        <v>21.6</v>
      </c>
      <c r="E32" s="22">
        <f>C32*52*D32</f>
        <v>40435.200000000004</v>
      </c>
      <c r="F32" s="22">
        <f>E32/12</f>
        <v>3369.6000000000004</v>
      </c>
      <c r="H32" s="22">
        <f>E32*0.062</f>
        <v>2506.9824000000003</v>
      </c>
      <c r="I32" s="22">
        <f>E32*0.0145</f>
        <v>586.31040000000007</v>
      </c>
      <c r="J32" s="22">
        <f>14000*0.1</f>
        <v>1400</v>
      </c>
      <c r="K32" s="22">
        <f>SUM(H32:J32)</f>
        <v>4493.2928000000002</v>
      </c>
      <c r="L32" s="22">
        <f>K32/12</f>
        <v>374.4410666666667</v>
      </c>
      <c r="M32" s="22">
        <f>E32+G32+K32</f>
        <v>44928.492800000007</v>
      </c>
      <c r="O32" s="21">
        <v>3800</v>
      </c>
      <c r="P32" s="21">
        <f>O32/12</f>
        <v>316.66666666666669</v>
      </c>
      <c r="Q32" s="22">
        <f>O32/26</f>
        <v>146.15384615384616</v>
      </c>
    </row>
    <row r="33" spans="2:17">
      <c r="E33" s="22"/>
      <c r="F33" s="22"/>
      <c r="H33" s="22"/>
      <c r="I33" s="22"/>
      <c r="J33" s="22"/>
      <c r="K33" s="22"/>
      <c r="L33" s="22"/>
      <c r="M33" s="22"/>
      <c r="Q33" s="22"/>
    </row>
    <row r="34" spans="2:17">
      <c r="B34" s="26" t="s">
        <v>71</v>
      </c>
      <c r="C34" s="27">
        <v>10</v>
      </c>
      <c r="D34" s="21">
        <v>10</v>
      </c>
      <c r="E34" s="22">
        <f t="shared" ref="E34:E36" si="5">C34*52*D34</f>
        <v>5200</v>
      </c>
      <c r="F34" s="22">
        <f t="shared" ref="F34:F36" si="6">E34/12</f>
        <v>433.33333333333331</v>
      </c>
      <c r="H34" s="22">
        <f t="shared" ref="H34:H36" si="7">E34*0.062</f>
        <v>322.39999999999998</v>
      </c>
      <c r="I34" s="22">
        <f t="shared" ref="I34:I36" si="8">E34*0.0145</f>
        <v>75.400000000000006</v>
      </c>
      <c r="J34" s="22">
        <f>E34*0.08526</f>
        <v>443.35200000000003</v>
      </c>
      <c r="K34" s="22">
        <f t="shared" ref="K34:K36" si="9">SUM(H34:J34)</f>
        <v>841.15200000000004</v>
      </c>
      <c r="L34" s="22">
        <f t="shared" ref="L34:L36" si="10">K34/12</f>
        <v>70.096000000000004</v>
      </c>
      <c r="M34" s="22">
        <f t="shared" ref="M34:M36" si="11">E34+G34+K34</f>
        <v>6041.152</v>
      </c>
    </row>
    <row r="35" spans="2:17">
      <c r="B35" s="26" t="s">
        <v>83</v>
      </c>
      <c r="C35" s="27">
        <v>5</v>
      </c>
      <c r="D35" s="21">
        <v>15</v>
      </c>
      <c r="E35" s="22">
        <f t="shared" si="5"/>
        <v>3900</v>
      </c>
      <c r="F35" s="22">
        <f t="shared" si="6"/>
        <v>325</v>
      </c>
      <c r="H35" s="22">
        <f t="shared" si="7"/>
        <v>241.8</v>
      </c>
      <c r="I35" s="22">
        <f t="shared" si="8"/>
        <v>56.550000000000004</v>
      </c>
      <c r="J35" s="22">
        <f t="shared" ref="J35:J36" si="12">E35*0.08526</f>
        <v>332.51400000000001</v>
      </c>
      <c r="K35" s="22">
        <f t="shared" si="9"/>
        <v>630.86400000000003</v>
      </c>
      <c r="L35" s="22">
        <f t="shared" si="10"/>
        <v>52.572000000000003</v>
      </c>
      <c r="M35" s="22">
        <f t="shared" si="11"/>
        <v>4530.8639999999996</v>
      </c>
    </row>
    <row r="36" spans="2:17">
      <c r="B36" s="26" t="s">
        <v>78</v>
      </c>
      <c r="C36" s="27">
        <v>5</v>
      </c>
      <c r="D36" s="21">
        <v>20</v>
      </c>
      <c r="E36" s="22">
        <f t="shared" si="5"/>
        <v>5200</v>
      </c>
      <c r="F36" s="22">
        <f t="shared" si="6"/>
        <v>433.33333333333331</v>
      </c>
      <c r="H36" s="22">
        <f t="shared" si="7"/>
        <v>322.39999999999998</v>
      </c>
      <c r="I36" s="22">
        <f t="shared" si="8"/>
        <v>75.400000000000006</v>
      </c>
      <c r="J36" s="22">
        <f t="shared" si="12"/>
        <v>443.35200000000003</v>
      </c>
      <c r="K36" s="22">
        <f t="shared" si="9"/>
        <v>841.15200000000004</v>
      </c>
      <c r="L36" s="22">
        <f t="shared" si="10"/>
        <v>70.096000000000004</v>
      </c>
      <c r="M36" s="22">
        <f t="shared" si="11"/>
        <v>6041.152</v>
      </c>
    </row>
    <row r="37" spans="2:17" s="20" customFormat="1">
      <c r="B37" s="20" t="s">
        <v>86</v>
      </c>
      <c r="C37" s="28">
        <f>SUM(C34:C36)</f>
        <v>20</v>
      </c>
      <c r="D37" s="28">
        <f>SUM(D34:D36)</f>
        <v>45</v>
      </c>
      <c r="E37" s="28">
        <f>SUM(E34:E36)</f>
        <v>14300</v>
      </c>
      <c r="F37" s="28">
        <f>SUM(F34:F36)</f>
        <v>1191.6666666666665</v>
      </c>
      <c r="H37" s="28">
        <f t="shared" ref="H37:M37" si="13">SUM(H34:H36)</f>
        <v>886.6</v>
      </c>
      <c r="I37" s="28">
        <f t="shared" si="13"/>
        <v>207.35000000000002</v>
      </c>
      <c r="J37" s="28">
        <f t="shared" si="13"/>
        <v>1219.2180000000001</v>
      </c>
      <c r="K37" s="28">
        <f t="shared" si="13"/>
        <v>2313.1680000000001</v>
      </c>
      <c r="L37" s="28">
        <f t="shared" si="13"/>
        <v>192.76400000000001</v>
      </c>
      <c r="M37" s="28">
        <f t="shared" si="13"/>
        <v>16613.167999999998</v>
      </c>
    </row>
    <row r="39" spans="2:17">
      <c r="B39" s="26" t="s">
        <v>79</v>
      </c>
      <c r="C39" s="31">
        <v>0.25</v>
      </c>
      <c r="D39" s="21">
        <v>10</v>
      </c>
      <c r="E39" s="21">
        <f>C39*D39*52</f>
        <v>130</v>
      </c>
      <c r="F39" s="22">
        <f t="shared" ref="F39:F44" si="14">E39/12</f>
        <v>10.833333333333334</v>
      </c>
      <c r="H39" s="22">
        <f t="shared" ref="H39:H44" si="15">E39*0.062</f>
        <v>8.06</v>
      </c>
      <c r="I39" s="22">
        <f>E39*0.0145</f>
        <v>1.885</v>
      </c>
      <c r="J39" s="22">
        <f t="shared" ref="J39:J44" si="16">E39*0.08526</f>
        <v>11.0838</v>
      </c>
      <c r="K39" s="22">
        <f>SUM(H39:J39)</f>
        <v>21.0288</v>
      </c>
      <c r="L39" s="22">
        <f>K39/12</f>
        <v>1.7524</v>
      </c>
      <c r="M39" s="22">
        <f>E39+G39+K39</f>
        <v>151.02879999999999</v>
      </c>
    </row>
    <row r="40" spans="2:17">
      <c r="B40" s="26" t="s">
        <v>80</v>
      </c>
      <c r="C40" s="27">
        <v>10</v>
      </c>
      <c r="D40" s="21">
        <v>10</v>
      </c>
      <c r="E40" s="22">
        <f>C40*52*D40</f>
        <v>5200</v>
      </c>
      <c r="F40" s="22">
        <f t="shared" si="14"/>
        <v>433.33333333333331</v>
      </c>
      <c r="H40" s="22">
        <f t="shared" si="15"/>
        <v>322.39999999999998</v>
      </c>
      <c r="I40" s="22">
        <f>E40*0.0145</f>
        <v>75.400000000000006</v>
      </c>
      <c r="J40" s="22">
        <f t="shared" si="16"/>
        <v>443.35200000000003</v>
      </c>
      <c r="K40" s="22">
        <f>SUM(H40:J40)</f>
        <v>841.15200000000004</v>
      </c>
      <c r="L40" s="22">
        <f>K40/12</f>
        <v>70.096000000000004</v>
      </c>
      <c r="M40" s="22">
        <f>E40+G40+K40</f>
        <v>6041.152</v>
      </c>
    </row>
    <row r="41" spans="2:17">
      <c r="B41" s="26" t="s">
        <v>81</v>
      </c>
      <c r="C41" s="27">
        <v>10</v>
      </c>
      <c r="D41" s="21">
        <v>10</v>
      </c>
      <c r="E41" s="22">
        <f>C41*52*D41</f>
        <v>5200</v>
      </c>
      <c r="F41" s="22">
        <f t="shared" si="14"/>
        <v>433.33333333333331</v>
      </c>
      <c r="H41" s="22">
        <f t="shared" si="15"/>
        <v>322.39999999999998</v>
      </c>
      <c r="I41" s="22">
        <f>E41*0.0145</f>
        <v>75.400000000000006</v>
      </c>
      <c r="J41" s="22">
        <f t="shared" si="16"/>
        <v>443.35200000000003</v>
      </c>
      <c r="K41" s="22">
        <f>SUM(H41:J41)</f>
        <v>841.15200000000004</v>
      </c>
      <c r="L41" s="22">
        <f>K41/12</f>
        <v>70.096000000000004</v>
      </c>
      <c r="M41" s="22">
        <f>E41+G41+K41</f>
        <v>6041.152</v>
      </c>
    </row>
    <row r="42" spans="2:17">
      <c r="B42" s="26" t="s">
        <v>82</v>
      </c>
      <c r="C42" s="27">
        <v>0.77777777777777779</v>
      </c>
      <c r="D42" s="21">
        <v>10</v>
      </c>
      <c r="E42" s="22">
        <f>C42*52*D42</f>
        <v>404.44444444444446</v>
      </c>
      <c r="F42" s="22">
        <f t="shared" si="14"/>
        <v>33.703703703703702</v>
      </c>
      <c r="H42" s="22">
        <f t="shared" si="15"/>
        <v>25.075555555555557</v>
      </c>
      <c r="I42" s="22">
        <f>E42*0.0145</f>
        <v>5.8644444444444446</v>
      </c>
      <c r="J42" s="22">
        <f t="shared" si="16"/>
        <v>34.482933333333335</v>
      </c>
      <c r="K42" s="22">
        <f>SUM(H42:J42)</f>
        <v>65.422933333333333</v>
      </c>
      <c r="L42" s="22">
        <f>K42/12</f>
        <v>5.4519111111111114</v>
      </c>
      <c r="M42" s="22">
        <f>E42+G42+K42</f>
        <v>469.86737777777779</v>
      </c>
      <c r="Q42" s="21">
        <v>0.6</v>
      </c>
    </row>
    <row r="43" spans="2:17">
      <c r="B43" s="26" t="s">
        <v>84</v>
      </c>
      <c r="C43" s="27">
        <v>3.7777777777777777</v>
      </c>
      <c r="D43" s="21">
        <v>10</v>
      </c>
      <c r="E43" s="22">
        <f>C43*52*D43</f>
        <v>1964.4444444444443</v>
      </c>
      <c r="F43" s="22">
        <f t="shared" si="14"/>
        <v>163.7037037037037</v>
      </c>
      <c r="H43" s="22">
        <f t="shared" si="15"/>
        <v>121.79555555555555</v>
      </c>
      <c r="I43" s="22">
        <f>E43*0.0145</f>
        <v>28.484444444444446</v>
      </c>
      <c r="J43" s="22">
        <f t="shared" si="16"/>
        <v>167.48853333333332</v>
      </c>
      <c r="K43" s="22">
        <f>SUM(H43:J43)</f>
        <v>317.76853333333332</v>
      </c>
      <c r="L43" s="22">
        <f>K43/12</f>
        <v>26.480711111111109</v>
      </c>
      <c r="M43" s="22">
        <f>E43+G43+K43</f>
        <v>2282.2129777777777</v>
      </c>
      <c r="Q43" s="21">
        <v>7.87</v>
      </c>
    </row>
    <row r="44" spans="2:17">
      <c r="B44" s="26" t="s">
        <v>85</v>
      </c>
      <c r="C44" s="27">
        <v>4</v>
      </c>
      <c r="D44" s="21">
        <v>10</v>
      </c>
      <c r="E44" s="22">
        <f>C44*52*D44</f>
        <v>2080</v>
      </c>
      <c r="F44" s="22">
        <f t="shared" si="14"/>
        <v>173.33333333333334</v>
      </c>
      <c r="H44" s="22">
        <f t="shared" si="15"/>
        <v>128.96</v>
      </c>
      <c r="I44" s="22">
        <f t="shared" ref="I44:M44" si="17">F44*0.062</f>
        <v>10.746666666666668</v>
      </c>
      <c r="J44" s="22">
        <f t="shared" si="16"/>
        <v>177.3408</v>
      </c>
      <c r="K44" s="22">
        <f t="shared" si="17"/>
        <v>7.9955200000000008</v>
      </c>
      <c r="L44" s="22">
        <f t="shared" si="17"/>
        <v>0.6662933333333334</v>
      </c>
      <c r="M44" s="22">
        <f t="shared" si="17"/>
        <v>10.9951296</v>
      </c>
      <c r="Q44" s="21">
        <v>5.6000000000000001E-2</v>
      </c>
    </row>
    <row r="45" spans="2:17" s="20" customFormat="1">
      <c r="B45" s="20" t="s">
        <v>89</v>
      </c>
      <c r="C45" s="28">
        <f>SUM(C39:C44)</f>
        <v>28.805555555555557</v>
      </c>
      <c r="D45" s="28">
        <f t="shared" ref="D45:F45" si="18">SUM(D39:D44)</f>
        <v>60</v>
      </c>
      <c r="E45" s="28">
        <f t="shared" si="18"/>
        <v>14978.888888888891</v>
      </c>
      <c r="F45" s="28">
        <f t="shared" si="18"/>
        <v>1248.2407407407406</v>
      </c>
      <c r="H45" s="30">
        <f>SUM(H39:H44)</f>
        <v>928.69111111111101</v>
      </c>
      <c r="I45" s="30">
        <f t="shared" ref="I45:M45" si="19">SUM(I39:I44)</f>
        <v>197.78055555555557</v>
      </c>
      <c r="J45" s="30">
        <f t="shared" si="19"/>
        <v>1277.1000666666666</v>
      </c>
      <c r="K45" s="30">
        <f t="shared" si="19"/>
        <v>2094.5197866666667</v>
      </c>
      <c r="L45" s="30">
        <f t="shared" si="19"/>
        <v>174.54331555555555</v>
      </c>
      <c r="M45" s="30">
        <f t="shared" si="19"/>
        <v>14996.408285155556</v>
      </c>
      <c r="Q45" s="20">
        <f>SUM(Q42:Q44)</f>
        <v>8.5259999999999998</v>
      </c>
    </row>
    <row r="47" spans="2:17">
      <c r="J47" s="22"/>
      <c r="L47" s="22">
        <f>L32+L37+L45</f>
        <v>741.74838222222218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0"/>
  <sheetViews>
    <sheetView topLeftCell="B1" workbookViewId="0">
      <selection activeCell="M25" sqref="M25"/>
    </sheetView>
  </sheetViews>
  <sheetFormatPr defaultRowHeight="15"/>
  <cols>
    <col min="1" max="1" width="8.5703125" style="21" customWidth="1"/>
    <col min="2" max="2" width="27.42578125" style="21" customWidth="1"/>
    <col min="3" max="4" width="9.140625" style="21"/>
    <col min="5" max="5" width="10.7109375" style="21" customWidth="1"/>
    <col min="6" max="6" width="12" style="21" customWidth="1"/>
    <col min="7" max="16384" width="9.140625" style="21"/>
  </cols>
  <sheetData>
    <row r="1" spans="1:18" s="20" customFormat="1">
      <c r="A1" s="20" t="s">
        <v>54</v>
      </c>
      <c r="B1" s="20" t="s">
        <v>55</v>
      </c>
      <c r="C1" s="20" t="s">
        <v>56</v>
      </c>
      <c r="D1" s="20" t="s">
        <v>57</v>
      </c>
      <c r="E1" s="20" t="s">
        <v>58</v>
      </c>
      <c r="G1" s="20" t="s">
        <v>59</v>
      </c>
      <c r="H1" s="20" t="s">
        <v>60</v>
      </c>
      <c r="I1" s="20" t="s">
        <v>61</v>
      </c>
      <c r="J1" s="20" t="s">
        <v>62</v>
      </c>
      <c r="K1" s="20" t="s">
        <v>63</v>
      </c>
      <c r="M1" s="20" t="s">
        <v>13</v>
      </c>
    </row>
    <row r="2" spans="1:18">
      <c r="A2" s="20"/>
      <c r="B2" s="20"/>
      <c r="C2" s="20"/>
      <c r="D2" s="20"/>
      <c r="E2" s="20"/>
      <c r="H2" s="21">
        <v>6.2E-2</v>
      </c>
      <c r="I2" s="21">
        <v>1.4500000000000001E-2</v>
      </c>
      <c r="J2" s="21">
        <v>0.11550000000000001</v>
      </c>
    </row>
    <row r="3" spans="1:18">
      <c r="A3" s="21" t="s">
        <v>64</v>
      </c>
      <c r="B3" s="21" t="s">
        <v>65</v>
      </c>
      <c r="C3" s="21">
        <v>30</v>
      </c>
      <c r="D3" s="21">
        <v>20.6</v>
      </c>
      <c r="E3" s="22">
        <f>C3*52*D3</f>
        <v>32136.000000000004</v>
      </c>
      <c r="H3" s="22">
        <f>E3*0.062</f>
        <v>1992.4320000000002</v>
      </c>
      <c r="I3" s="22">
        <f>E3*0.0145</f>
        <v>465.97200000000009</v>
      </c>
      <c r="J3" s="22">
        <f>14000*0.1155</f>
        <v>1617</v>
      </c>
      <c r="K3" s="22">
        <f>SUM(H3:J3)</f>
        <v>4075.4040000000005</v>
      </c>
      <c r="L3" s="22"/>
      <c r="M3" s="22">
        <f>E3+G3+K3</f>
        <v>36211.404000000002</v>
      </c>
      <c r="R3" s="21">
        <f>152.75*20.6</f>
        <v>3146.65</v>
      </c>
    </row>
    <row r="4" spans="1:18">
      <c r="A4" s="21" t="s">
        <v>66</v>
      </c>
      <c r="B4" s="21" t="s">
        <v>67</v>
      </c>
      <c r="C4" s="21">
        <v>12</v>
      </c>
      <c r="D4" s="21">
        <v>15</v>
      </c>
      <c r="E4" s="22">
        <f>C4*52*D4</f>
        <v>9360</v>
      </c>
      <c r="H4" s="22">
        <f>E4*0.062</f>
        <v>580.32000000000005</v>
      </c>
      <c r="I4" s="22">
        <f>E4*0.0145</f>
        <v>135.72</v>
      </c>
      <c r="J4" s="22">
        <f>E4*0.1155</f>
        <v>1081.0800000000002</v>
      </c>
      <c r="K4" s="22">
        <f>SUM(H4:J4)</f>
        <v>1797.1200000000003</v>
      </c>
      <c r="L4" s="22"/>
      <c r="M4" s="22">
        <f>E4+G4+K4</f>
        <v>11157.12</v>
      </c>
      <c r="R4" s="21">
        <f>R3*12</f>
        <v>37759.800000000003</v>
      </c>
    </row>
    <row r="5" spans="1:18">
      <c r="A5" s="21" t="s">
        <v>68</v>
      </c>
      <c r="B5" s="21" t="s">
        <v>69</v>
      </c>
      <c r="C5" s="21">
        <v>23</v>
      </c>
      <c r="D5" s="21">
        <v>18</v>
      </c>
      <c r="E5" s="22">
        <f>C5*52*D5</f>
        <v>21528</v>
      </c>
      <c r="H5" s="22">
        <f>E5*0.062</f>
        <v>1334.7360000000001</v>
      </c>
      <c r="I5" s="22">
        <f>E5*0.0145</f>
        <v>312.15600000000001</v>
      </c>
      <c r="J5" s="22">
        <f>14000*0.1155</f>
        <v>1617</v>
      </c>
      <c r="K5" s="22">
        <f>SUM(H5:J5)</f>
        <v>3263.8919999999998</v>
      </c>
      <c r="L5" s="22"/>
      <c r="M5" s="22">
        <f>E5+G5+K5</f>
        <v>24791.892</v>
      </c>
    </row>
    <row r="6" spans="1:18">
      <c r="M6" s="22">
        <f>SUM(M3:M5)</f>
        <v>72160.415999999997</v>
      </c>
    </row>
    <row r="7" spans="1:18">
      <c r="A7" s="20" t="s">
        <v>54</v>
      </c>
      <c r="B7" s="20" t="s">
        <v>55</v>
      </c>
      <c r="C7" s="20" t="s">
        <v>56</v>
      </c>
      <c r="D7" s="20" t="s">
        <v>57</v>
      </c>
      <c r="E7" s="20" t="s">
        <v>58</v>
      </c>
      <c r="F7" s="20"/>
      <c r="G7" s="20" t="s">
        <v>59</v>
      </c>
      <c r="H7" s="20" t="s">
        <v>60</v>
      </c>
      <c r="I7" s="20" t="s">
        <v>61</v>
      </c>
      <c r="J7" s="20" t="s">
        <v>62</v>
      </c>
      <c r="K7" s="20" t="s">
        <v>63</v>
      </c>
      <c r="L7" s="20"/>
      <c r="M7" s="20" t="s">
        <v>13</v>
      </c>
      <c r="Q7" s="21">
        <v>26</v>
      </c>
    </row>
    <row r="8" spans="1:18">
      <c r="A8" s="20"/>
      <c r="B8" s="20"/>
      <c r="C8" s="20"/>
      <c r="D8" s="20"/>
      <c r="E8" s="20"/>
      <c r="H8" s="21">
        <v>6.2E-2</v>
      </c>
      <c r="I8" s="21">
        <v>1.4500000000000001E-2</v>
      </c>
      <c r="J8" s="21">
        <v>0.11550000000000001</v>
      </c>
      <c r="O8" s="21" t="s">
        <v>70</v>
      </c>
      <c r="Q8" s="23" t="s">
        <v>72</v>
      </c>
    </row>
    <row r="9" spans="1:18">
      <c r="A9" s="21" t="s">
        <v>64</v>
      </c>
      <c r="B9" s="21" t="s">
        <v>65</v>
      </c>
      <c r="C9" s="21">
        <v>30</v>
      </c>
      <c r="D9" s="21">
        <v>21.6</v>
      </c>
      <c r="E9" s="22">
        <f>C9*52*D9</f>
        <v>33696</v>
      </c>
      <c r="F9" s="22">
        <f>E9/12</f>
        <v>2808</v>
      </c>
      <c r="H9" s="22">
        <f>E9*0.062</f>
        <v>2089.152</v>
      </c>
      <c r="I9" s="22">
        <f>E9*0.0145</f>
        <v>488.59200000000004</v>
      </c>
      <c r="J9" s="22">
        <f>14000*0.1155</f>
        <v>1617</v>
      </c>
      <c r="K9" s="22">
        <f>SUM(H9:J9)</f>
        <v>4194.7440000000006</v>
      </c>
      <c r="L9" s="22">
        <f>K9/12</f>
        <v>349.56200000000007</v>
      </c>
      <c r="M9" s="22">
        <f>E9+G9+K9</f>
        <v>37890.743999999999</v>
      </c>
      <c r="O9" s="21">
        <f>300*12</f>
        <v>3600</v>
      </c>
      <c r="P9" s="21">
        <f>O9/12</f>
        <v>300</v>
      </c>
      <c r="Q9" s="22">
        <f>O9/26</f>
        <v>138.46153846153845</v>
      </c>
    </row>
    <row r="10" spans="1:18">
      <c r="A10" s="21" t="s">
        <v>66</v>
      </c>
      <c r="B10" s="21" t="s">
        <v>67</v>
      </c>
      <c r="C10" s="21">
        <v>15</v>
      </c>
      <c r="D10" s="21">
        <v>18</v>
      </c>
      <c r="E10" s="22">
        <f>C10*52*D10</f>
        <v>14040</v>
      </c>
      <c r="F10" s="22">
        <f t="shared" ref="F10:F11" si="0">E10/12</f>
        <v>1170</v>
      </c>
      <c r="H10" s="22">
        <f>E10*0.062</f>
        <v>870.48</v>
      </c>
      <c r="I10" s="22">
        <f>E10*0.0145</f>
        <v>203.58</v>
      </c>
      <c r="J10" s="22">
        <f>14000*0.1155</f>
        <v>1617</v>
      </c>
      <c r="K10" s="22">
        <f>SUM(H10:J10)</f>
        <v>2691.06</v>
      </c>
      <c r="L10" s="22">
        <f t="shared" ref="L10:L11" si="1">K10/12</f>
        <v>224.255</v>
      </c>
      <c r="M10" s="22">
        <f>E10+G10+K10</f>
        <v>16731.060000000001</v>
      </c>
      <c r="O10" s="21">
        <f>150*12</f>
        <v>1800</v>
      </c>
      <c r="P10" s="21">
        <f t="shared" ref="P10:P11" si="2">O10/12</f>
        <v>150</v>
      </c>
      <c r="Q10" s="22">
        <f t="shared" ref="Q10:Q11" si="3">O10/26</f>
        <v>69.230769230769226</v>
      </c>
    </row>
    <row r="11" spans="1:18">
      <c r="A11" s="21" t="s">
        <v>68</v>
      </c>
      <c r="B11" s="21" t="s">
        <v>69</v>
      </c>
      <c r="C11" s="21">
        <v>25</v>
      </c>
      <c r="D11" s="21">
        <v>20</v>
      </c>
      <c r="E11" s="22">
        <f>C11*52*D11</f>
        <v>26000</v>
      </c>
      <c r="F11" s="22">
        <f t="shared" si="0"/>
        <v>2166.6666666666665</v>
      </c>
      <c r="H11" s="22">
        <f>E11*0.062</f>
        <v>1612</v>
      </c>
      <c r="I11" s="22">
        <f>E11*0.0145</f>
        <v>377</v>
      </c>
      <c r="J11" s="22">
        <f>14000*0.1155</f>
        <v>1617</v>
      </c>
      <c r="K11" s="22">
        <f>SUM(H11:J11)</f>
        <v>3606</v>
      </c>
      <c r="L11" s="22">
        <f t="shared" si="1"/>
        <v>300.5</v>
      </c>
      <c r="M11" s="22">
        <f>E11+G11+K11</f>
        <v>29606</v>
      </c>
      <c r="O11" s="21">
        <f>250*12</f>
        <v>3000</v>
      </c>
      <c r="P11" s="21">
        <f t="shared" si="2"/>
        <v>250</v>
      </c>
      <c r="Q11" s="22">
        <f t="shared" si="3"/>
        <v>115.38461538461539</v>
      </c>
    </row>
    <row r="12" spans="1:18">
      <c r="L12" s="22">
        <f>SUM(L9:L11)</f>
        <v>874.31700000000001</v>
      </c>
      <c r="M12" s="22">
        <f>SUM(M9:M11)</f>
        <v>84227.804000000004</v>
      </c>
      <c r="P12" s="21">
        <f>SUM(P9:P11)</f>
        <v>700</v>
      </c>
    </row>
    <row r="15" spans="1:18">
      <c r="O15" s="21">
        <f>120*12</f>
        <v>1440</v>
      </c>
      <c r="Q15" s="22">
        <f t="shared" ref="Q15" si="4">O15/26</f>
        <v>55.384615384615387</v>
      </c>
      <c r="R15" s="24" t="s">
        <v>73</v>
      </c>
    </row>
    <row r="20" spans="2:18">
      <c r="B20" s="25" t="s">
        <v>74</v>
      </c>
    </row>
    <row r="21" spans="2:18">
      <c r="B21" s="25" t="s">
        <v>75</v>
      </c>
    </row>
    <row r="22" spans="2:18">
      <c r="B22" s="20" t="s">
        <v>55</v>
      </c>
      <c r="C22" s="20" t="s">
        <v>56</v>
      </c>
      <c r="D22" s="20" t="s">
        <v>57</v>
      </c>
      <c r="E22" s="20" t="s">
        <v>58</v>
      </c>
      <c r="F22" s="20" t="s">
        <v>76</v>
      </c>
      <c r="G22" s="20" t="s">
        <v>59</v>
      </c>
      <c r="H22" s="20" t="s">
        <v>60</v>
      </c>
      <c r="I22" s="20" t="s">
        <v>61</v>
      </c>
      <c r="J22" s="20" t="s">
        <v>62</v>
      </c>
      <c r="K22" s="20" t="s">
        <v>63</v>
      </c>
      <c r="L22" s="20" t="s">
        <v>76</v>
      </c>
      <c r="M22" s="20" t="s">
        <v>13</v>
      </c>
      <c r="Q22" s="21">
        <v>26</v>
      </c>
    </row>
    <row r="23" spans="2:18">
      <c r="B23" s="20"/>
      <c r="C23" s="20"/>
      <c r="D23" s="20"/>
      <c r="E23" s="20"/>
      <c r="H23" s="21">
        <v>6.2E-2</v>
      </c>
      <c r="I23" s="21">
        <v>1.4500000000000001E-2</v>
      </c>
      <c r="J23" s="25">
        <v>0.01</v>
      </c>
      <c r="O23" s="21" t="s">
        <v>70</v>
      </c>
      <c r="Q23" s="23" t="s">
        <v>72</v>
      </c>
    </row>
    <row r="24" spans="2:18">
      <c r="B24" s="21" t="s">
        <v>65</v>
      </c>
      <c r="C24" s="21">
        <v>38</v>
      </c>
      <c r="D24" s="21">
        <v>21.6</v>
      </c>
      <c r="E24" s="22">
        <f>C24*52*D24</f>
        <v>42681.600000000006</v>
      </c>
      <c r="F24" s="22">
        <f>E24/12</f>
        <v>3556.8000000000006</v>
      </c>
      <c r="H24" s="22">
        <f>E24*0.062</f>
        <v>2646.2592000000004</v>
      </c>
      <c r="I24" s="22">
        <f>E24*0.0145</f>
        <v>618.8832000000001</v>
      </c>
      <c r="J24" s="22">
        <f>14000*0.1</f>
        <v>1400</v>
      </c>
      <c r="K24" s="22">
        <f>SUM(H24:J24)</f>
        <v>4665.1424000000006</v>
      </c>
      <c r="L24" s="22">
        <f>K24/12</f>
        <v>388.76186666666672</v>
      </c>
      <c r="M24" s="22">
        <f>E24+G24+K24</f>
        <v>47346.742400000003</v>
      </c>
      <c r="O24" s="21">
        <v>3800</v>
      </c>
      <c r="P24" s="21">
        <f>O24/12</f>
        <v>316.66666666666669</v>
      </c>
      <c r="Q24" s="22">
        <f>O24/26</f>
        <v>146.15384615384616</v>
      </c>
    </row>
    <row r="25" spans="2:18">
      <c r="B25" s="25" t="s">
        <v>77</v>
      </c>
      <c r="C25" s="21">
        <v>40</v>
      </c>
      <c r="D25" s="21">
        <v>10</v>
      </c>
      <c r="E25" s="22">
        <f>C25*52*D25</f>
        <v>20800</v>
      </c>
      <c r="F25" s="22">
        <f>E25/12</f>
        <v>1733.3333333333333</v>
      </c>
      <c r="H25" s="22">
        <f>E25*0.062</f>
        <v>1289.5999999999999</v>
      </c>
      <c r="I25" s="22">
        <f>E25*0.0145</f>
        <v>301.60000000000002</v>
      </c>
      <c r="J25" s="22">
        <f>14000*0.1</f>
        <v>1400</v>
      </c>
      <c r="K25" s="22">
        <f>SUM(H25:J25)</f>
        <v>2991.2</v>
      </c>
      <c r="L25" s="22">
        <f>K25/12</f>
        <v>249.26666666666665</v>
      </c>
      <c r="M25" s="22">
        <f>E25+G25+K25</f>
        <v>23791.200000000001</v>
      </c>
      <c r="Q25" s="22"/>
    </row>
    <row r="26" spans="2:18">
      <c r="E26" s="22"/>
      <c r="F26" s="22"/>
      <c r="H26" s="22"/>
      <c r="I26" s="22"/>
      <c r="J26" s="22"/>
      <c r="K26" s="22"/>
      <c r="L26" s="22">
        <f>SUM(L24:L25)</f>
        <v>638.02853333333337</v>
      </c>
      <c r="M26" s="22"/>
      <c r="Q26" s="22"/>
    </row>
    <row r="27" spans="2:18">
      <c r="L27" s="22"/>
      <c r="M27" s="22"/>
    </row>
    <row r="30" spans="2:18">
      <c r="O30" s="21">
        <f>120*12</f>
        <v>1440</v>
      </c>
      <c r="Q30" s="22">
        <f t="shared" ref="Q30" si="5">O30/26</f>
        <v>55.384615384615387</v>
      </c>
      <c r="R30" s="24" t="s">
        <v>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MCTV Draft Budget 2016</vt:lpstr>
      <vt:lpstr>Payroll 2016</vt:lpstr>
      <vt:lpstr>Payroll2015</vt:lpstr>
      <vt:lpstr>'MCTV Draft Budget 2016'!Print_Area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</dc:creator>
  <cp:lastModifiedBy>admin</cp:lastModifiedBy>
  <cp:lastPrinted>2016-01-27T03:22:10Z</cp:lastPrinted>
  <dcterms:created xsi:type="dcterms:W3CDTF">2013-10-17T02:56:30Z</dcterms:created>
  <dcterms:modified xsi:type="dcterms:W3CDTF">2016-02-25T04:28:42Z</dcterms:modified>
</cp:coreProperties>
</file>